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Kfm. Service\Regulierung\Veröffentlichungs- und Informationspflichten\Homepage\eingestellte Dateien\2021\"/>
    </mc:Choice>
  </mc:AlternateContent>
  <bookViews>
    <workbookView xWindow="0" yWindow="0" windowWidth="28800" windowHeight="1200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S12" i="7"/>
  <c r="T12" i="7"/>
  <c r="U12" i="7"/>
  <c r="V12" i="7"/>
  <c r="W12" i="7"/>
  <c r="R12" i="7"/>
  <c r="X12" i="7" l="1"/>
  <c r="X13" i="7"/>
  <c r="X11" i="7"/>
  <c r="X15" i="7"/>
  <c r="X14" i="7"/>
  <c r="G58" i="17"/>
  <c r="H58" i="17"/>
  <c r="I58" i="17"/>
  <c r="J58" i="17"/>
  <c r="K58" i="17"/>
  <c r="L58" i="17"/>
  <c r="M58" i="17"/>
  <c r="N58" i="17"/>
  <c r="H64" i="17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M12" i="7"/>
  <c r="I12" i="7"/>
  <c r="N11" i="7"/>
  <c r="L11" i="7"/>
  <c r="H11" i="7"/>
  <c r="I13" i="7"/>
  <c r="L14" i="7"/>
  <c r="K15" i="7"/>
  <c r="O12" i="7"/>
  <c r="P11" i="7"/>
  <c r="N13" i="7"/>
  <c r="I14" i="7"/>
  <c r="H15" i="7"/>
  <c r="P15" i="7"/>
  <c r="P12" i="7"/>
  <c r="M11" i="7"/>
  <c r="H13" i="7"/>
  <c r="L13" i="7"/>
  <c r="P13" i="7"/>
  <c r="K14" i="7"/>
  <c r="O14" i="7"/>
  <c r="J15" i="7"/>
  <c r="N15" i="7"/>
  <c r="N12" i="7"/>
  <c r="J12" i="7"/>
  <c r="O11" i="7"/>
  <c r="J11" i="7"/>
  <c r="M13" i="7"/>
  <c r="H14" i="7"/>
  <c r="P14" i="7"/>
  <c r="O15" i="7"/>
  <c r="K12" i="7"/>
  <c r="K11" i="7"/>
  <c r="J13" i="7"/>
  <c r="M14" i="7"/>
  <c r="L15" i="7"/>
  <c r="L12" i="7"/>
  <c r="H12" i="7"/>
  <c r="I11" i="7"/>
  <c r="F15" i="7"/>
  <c r="F12" i="7"/>
  <c r="F14" i="7"/>
  <c r="F13" i="7"/>
  <c r="F11" i="7"/>
  <c r="M8" i="4"/>
  <c r="M7" i="4"/>
  <c r="C5" i="1"/>
  <c r="D6" i="15"/>
  <c r="D6" i="7"/>
  <c r="Q13" i="7" l="1"/>
  <c r="Q15" i="7"/>
  <c r="Q11" i="7"/>
  <c r="Q12" i="7"/>
  <c r="Q1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<sst xmlns="http://schemas.openxmlformats.org/spreadsheetml/2006/main" count="1382" uniqueCount="671">
  <si>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</si>
  <si>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</si>
  <si>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</si>
  <si>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</si>
  <si>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</si>
  <si>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</si>
  <si>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</si>
  <si>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</si>
  <si>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</si>
  <si>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</si>
  <si>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</si>
  <si>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</si>
  <si>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</si>
  <si>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</si>
  <si>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</si>
  <si>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</si>
  <si>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</si>
  <si>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</si>
  <si>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</si>
  <si>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</si>
  <si>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</si>
  <si>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</si>
  <si>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</si>
  <si>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</si>
  <si>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</si>
  <si>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</si>
  <si>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</si>
  <si>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</si>
  <si>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</si>
  <si>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</si>
  <si>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</si>
  <si>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</si>
  <si>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</si>
  <si>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</si>
  <si>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</si>
  <si>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</si>
  <si>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</si>
  <si>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</si>
  <si>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</si>
  <si>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</si>
  <si>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</si>
  <si>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</si>
  <si>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</si>
  <si>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</si>
  <si>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</si>
  <si>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</si>
  <si>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</si>
  <si>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</si>
  <si>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</si>
  <si>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</si>
  <si>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</si>
  <si>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</si>
  <si>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</si>
  <si>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</si>
  <si>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</si>
  <si>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</si>
  <si>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</si>
  <si>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</si>
  <si>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</si>
  <si>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</si>
  <si>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</si>
  <si>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</si>
  <si>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</si>
  <si>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</si>
  <si>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</si>
  <si>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</si>
  <si>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</si>
  <si>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</si>
  <si>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</si>
  <si>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</si>
  <si>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</si>
  <si>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</si>
  <si>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</si>
  <si>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</si>
  <si>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</si>
  <si>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</si>
  <si>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</si>
  <si>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</si>
  <si>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</si>
  <si>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</si>
  <si>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</si>
  <si>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</si>
  <si>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</si>
  <si>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</si>
  <si>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</si>
  <si>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</si>
  <si>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</si>
  <si>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</si>
  <si>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</si>
  <si>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</si>
  <si>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</si>
  <si>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</si>
  <si>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</si>
  <si>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</si>
  <si>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</si>
  <si>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</si>
  <si>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</si>
  <si>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</si>
  <si>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</si>
  <si>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</si>
  <si>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</si>
  <si>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</si>
  <si>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</si>
  <si>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</si>
  <si>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</si>
  <si>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</si>
  <si>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</si>
  <si>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</si>
  <si>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</si>
  <si>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</si>
  <si>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</si>
  <si>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</si>
  <si>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</si>
  <si>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</si>
  <si>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</si>
  <si>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</si>
  <si>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</si>
  <si>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</si>
  <si>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</si>
  <si>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</si>
  <si>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</si>
  <si>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</si>
  <si>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</si>
  <si>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</si>
  <si>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</si>
  <si>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</si>
  <si>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</si>
  <si>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</si>
  <si>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</si>
  <si>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</si>
  <si>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</si>
  <si>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</si>
  <si>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</si>
  <si>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</si>
  <si>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</si>
  <si>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</si>
  <si>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</si>
  <si>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</si>
  <si>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</si>
  <si>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</si>
  <si>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</si>
  <si>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</si>
  <si>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</si>
  <si>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</si>
  <si>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</si>
  <si>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</si>
  <si>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</si>
  <si>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</si>
  <si>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</si>
  <si>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</si>
  <si>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</si>
  <si>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</si>
  <si>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</si>
  <si>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</si>
  <si>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</si>
  <si>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</si>
  <si>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</si>
  <si>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</si>
  <si>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</si>
  <si>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</si>
  <si>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</si>
  <si>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</si>
  <si>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</si>
  <si>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</si>
  <si>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</si>
  <si>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</si>
  <si>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</si>
  <si>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</si>
  <si>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</si>
  <si>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</si>
  <si>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</si>
  <si>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</si>
  <si>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</si>
  <si>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</si>
  <si>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</si>
  <si>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</si>
  <si>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</si>
  <si>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</si>
  <si>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</si>
  <si>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</si>
  <si>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</si>
  <si>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</si>
  <si>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</si>
  <si>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</si>
  <si>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</si>
  <si>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</si>
  <si>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</si>
  <si>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</si>
  <si>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</si>
  <si>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</si>
  <si>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</si>
  <si>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</si>
  <si>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</si>
  <si>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</si>
  <si>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</si>
  <si>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</si>
  <si>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</si>
  <si>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</si>
  <si>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</si>
  <si>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</si>
  <si>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</si>
  <si>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</si>
  <si>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</si>
  <si>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</si>
  <si>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</si>
  <si>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</si>
  <si>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</si>
  <si>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</si>
  <si>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</si>
  <si>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</si>
  <si>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</si>
  <si>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</si>
  <si>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</si>
  <si>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</si>
  <si>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</si>
  <si>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</si>
  <si>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</si>
  <si>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</si>
  <si>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</si>
  <si>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</si>
  <si>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</si>
  <si>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</si>
  <si>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</si>
  <si>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</si>
  <si>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</si>
  <si>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</si>
  <si>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</si>
  <si>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</si>
  <si>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</si>
  <si>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</si>
  <si>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</si>
  <si>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</si>
  <si>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</si>
  <si>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</si>
  <si>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</si>
  <si>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</si>
  <si>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</si>
  <si>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</si>
  <si>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</si>
  <si>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</si>
  <si>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</si>
  <si>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</si>
  <si>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</si>
  <si>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</si>
  <si>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</si>
  <si>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</si>
  <si>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</si>
  <si>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</si>
  <si>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</si>
  <si>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</si>
  <si>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</si>
  <si>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</si>
  <si>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</si>
  <si>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</si>
  <si>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</si>
  <si>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</si>
  <si>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</si>
  <si>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</si>
  <si>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</si>
  <si>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</si>
  <si>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</si>
  <si>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</si>
  <si>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</si>
  <si>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</si>
  <si>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</si>
  <si>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</si>
  <si>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</si>
  <si>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</si>
  <si>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</si>
  <si>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</si>
  <si>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</si>
  <si>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</si>
  <si>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</si>
  <si>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</si>
  <si>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</si>
  <si>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</si>
  <si>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</si>
  <si>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</si>
  <si>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</si>
  <si>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</si>
  <si>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</si>
  <si>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</si>
  <si>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</si>
  <si>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</si>
  <si>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</si>
  <si>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</si>
  <si>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</si>
  <si>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</si>
  <si>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</si>
  <si>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</si>
  <si>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</si>
  <si>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</si>
  <si>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</si>
  <si>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</si>
  <si>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</si>
  <si>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</si>
  <si>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</si>
  <si>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</si>
  <si>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</si>
  <si>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</si>
  <si>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</si>
  <si>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</si>
  <si>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</si>
  <si>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</si>
  <si>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</si>
  <si>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</si>
  <si>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</si>
  <si>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</si>
  <si>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</si>
  <si>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</si>
  <si>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</si>
  <si>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</si>
  <si>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</si>
  <si>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</si>
  <si>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</si>
  <si>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</si>
  <si>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</si>
  <si>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</si>
  <si>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</si>
  <si>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</si>
  <si>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</si>
  <si>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</si>
  <si>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</si>
  <si>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</si>
  <si>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</si>
  <si>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</si>
  <si>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</si>
  <si>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</si>
  <si>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</si>
  <si>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</si>
  <si>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</si>
  <si>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</si>
  <si>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</si>
  <si>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</si>
  <si>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</si>
  <si>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</si>
  <si>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</si>
  <si>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</si>
  <si>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</si>
  <si>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</si>
  <si>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</si>
  <si>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</si>
  <si>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</si>
  <si>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</si>
  <si>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</si>
  <si>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</si>
  <si>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</si>
  <si>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</si>
  <si>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</si>
  <si>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</si>
  <si>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</si>
  <si>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</si>
  <si>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</si>
  <si>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</si>
  <si>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</si>
  <si>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</si>
  <si>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</si>
  <si>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</si>
  <si>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</si>
  <si>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</si>
  <si>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</si>
  <si>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</si>
  <si>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</si>
  <si>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</si>
  <si>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</si>
  <si>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</si>
  <si>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</si>
  <si>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</si>
  <si>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</si>
  <si>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</si>
  <si>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</si>
  <si>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</si>
  <si>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</si>
  <si>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</si>
  <si>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</si>
  <si>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</si>
  <si>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</si>
  <si>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</si>
  <si>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</si>
  <si>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</si>
  <si>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</si>
  <si>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</si>
  <si>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</si>
  <si>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</si>
  <si>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</si>
  <si>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</si>
  <si>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</si>
  <si>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</si>
  <si>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</si>
  <si>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</si>
  <si>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</si>
  <si>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</si>
  <si>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</si>
  <si>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</si>
  <si>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</si>
  <si>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</si>
  <si>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</si>
  <si>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</si>
  <si>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</si>
  <si>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</si>
  <si>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</si>
  <si>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</si>
  <si>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</si>
  <si>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</si>
  <si>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</si>
  <si>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</si>
  <si>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</si>
  <si>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</si>
  <si>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</si>
  <si>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</si>
  <si>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</si>
  <si>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</si>
  <si>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</si>
  <si>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</si>
  <si>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</si>
  <si>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</si>
  <si>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</si>
  <si>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</si>
  <si>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</si>
  <si>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</si>
  <si>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</si>
  <si>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</si>
  <si>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</si>
  <si>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</si>
  <si>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</si>
  <si>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</si>
  <si>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</si>
  <si>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</si>
  <si>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</si>
  <si>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</si>
  <si>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</si>
  <si>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</si>
  <si>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</si>
  <si>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</si>
  <si>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</si>
  <si>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</si>
  <si>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</si>
  <si>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</si>
  <si>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</si>
  <si>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</si>
  <si>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</si>
  <si>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</si>
  <si>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</si>
  <si>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</si>
  <si>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</si>
  <si>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</si>
  <si>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</si>
  <si>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</si>
  <si>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</si>
  <si>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</si>
  <si>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</si>
  <si>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</si>
  <si>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</si>
  <si>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</si>
  <si>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</si>
  <si>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</si>
  <si>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</si>
  <si>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</si>
  <si>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</si>
  <si>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</si>
  <si>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</si>
  <si>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</si>
  <si>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</si>
  <si>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</si>
  <si>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</si>
  <si>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</si>
  <si>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</si>
  <si>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</si>
  <si>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</si>
  <si>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</si>
  <si>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</si>
  <si>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</si>
  <si>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</si>
  <si>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</si>
  <si>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</si>
  <si>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</si>
  <si>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</si>
  <si>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</si>
  <si>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</si>
  <si>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</si>
  <si>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</si>
  <si>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</si>
  <si>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</si>
  <si>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</si>
  <si>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</si>
  <si>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</si>
  <si>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</si>
  <si>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</si>
  <si>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</si>
  <si>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</si>
  <si>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</si>
  <si>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</si>
  <si>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</si>
  <si>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</si>
  <si>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</si>
  <si>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</si>
  <si>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</si>
  <si>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</si>
  <si>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</si>
  <si>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</si>
  <si>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</si>
  <si>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</si>
  <si>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</si>
  <si>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</si>
  <si>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</si>
  <si>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</si>
  <si>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</si>
  <si>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</si>
  <si>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</si>
  <si>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</si>
  <si>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</si>
  <si>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</si>
  <si>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</si>
  <si>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</si>
  <si>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</si>
  <si>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</si>
  <si>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</si>
  <si>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</si>
  <si>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</si>
  <si>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</si>
  <si>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</si>
  <si>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</si>
  <si>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</si>
  <si>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</si>
  <si>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</si>
  <si>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</si>
  <si>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</si>
  <si>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</si>
  <si>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</si>
  <si>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</si>
  <si>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</si>
  <si>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</si>
  <si>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</si>
  <si>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</si>
  <si>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</si>
  <si>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</si>
  <si>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</si>
  <si>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</si>
  <si>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</si>
  <si>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</si>
  <si>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</si>
  <si>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</si>
  <si>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</si>
  <si>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</si>
  <si>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</si>
  <si>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</si>
  <si>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</si>
  <si>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</si>
  <si>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</si>
  <si>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</si>
  <si>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</si>
  <si>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</si>
  <si>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</si>
  <si>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</si>
  <si>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</si>
  <si>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</si>
  <si>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</si>
  <si>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</si>
  <si>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</si>
  <si>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</si>
  <si>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</si>
  <si>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</si>
  <si>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</si>
  <si>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</si>
  <si>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</si>
  <si>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</si>
  <si>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</si>
  <si>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</si>
  <si>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</si>
  <si>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</si>
  <si>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</si>
  <si>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</si>
  <si>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</si>
  <si>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</si>
  <si>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</si>
  <si>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</si>
  <si>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</si>
  <si>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</si>
  <si>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</si>
  <si>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</si>
  <si>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</si>
  <si>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</si>
  <si>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</si>
  <si>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</si>
  <si>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</si>
  <si>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</si>
  <si>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</si>
  <si>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</si>
  <si>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</si>
  <si>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</si>
  <si>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</si>
  <si>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</si>
  <si>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</si>
  <si>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</si>
  <si>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</si>
  <si>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</si>
  <si>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</si>
  <si>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</si>
  <si>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</si>
  <si>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</si>
  <si>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</si>
  <si>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</si>
  <si>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</si>
  <si>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</si>
  <si>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</si>
  <si>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</si>
  <si>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</si>
  <si>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</si>
  <si>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</si>
  <si>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</si>
  <si>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</si>
  <si>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</si>
  <si>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</si>
  <si>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</si>
  <si>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</si>
  <si>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</si>
  <si>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</si>
  <si>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</si>
  <si>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</si>
  <si>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</si>
  <si>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</si>
  <si>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</si>
  <si>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</si>
  <si>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</si>
  <si>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</si>
  <si>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</si>
  <si>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</si>
  <si>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</si>
  <si>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</si>
  <si>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</si>
  <si>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</si>
  <si>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</si>
  <si>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</si>
  <si>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</si>
  <si>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</si>
  <si>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</si>
  <si>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</si>
  <si>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</si>
  <si>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</si>
  <si>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</si>
  <si>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</si>
  <si>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</si>
  <si>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</si>
  <si>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</si>
  <si>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</si>
  <si>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</si>
  <si>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</si>
  <si>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</si>
  <si>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</si>
  <si>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</si>
  <si>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</si>
  <si>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</si>
  <si>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</si>
  <si>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</si>
  <si>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</si>
  <si>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</si>
  <si>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</si>
  <si>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Kleve GmbH</t>
  </si>
  <si>
    <t>9870084700004</t>
  </si>
  <si>
    <t>Flutstr. 36</t>
  </si>
  <si>
    <t>Kleve</t>
  </si>
  <si>
    <t>Frank Lörks</t>
  </si>
  <si>
    <t>netzmanagement@stadtwerke-kleve.de</t>
  </si>
  <si>
    <t>02821-593-281</t>
  </si>
  <si>
    <t>NCHN007008470000</t>
  </si>
  <si>
    <t>Wetterstation Kleve DWD-ID: H203</t>
  </si>
  <si>
    <t>H203</t>
  </si>
  <si>
    <t>DE_HEF04</t>
  </si>
  <si>
    <t>DE_HMF04</t>
  </si>
  <si>
    <t>DE_GHD04</t>
  </si>
  <si>
    <t>THE0NKH700847000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</si>
</sst>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opLeftCell="A21" zoomScale="95" zoomScaleNormal="95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9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Normal="100" workbookViewId="0">
      <selection activeCell="C5" sqref="C5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500</v>
      </c>
      <c r="D4" s="27">
        <v>44378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501</v>
      </c>
      <c r="D6" s="27">
        <v>44378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259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2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260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261</v>
      </c>
      <c r="D15" s="43">
        <v>47533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262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263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264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265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6" t="s">
        <v>499</v>
      </c>
      <c r="D28" s="48" t="str">
        <f>IF(D27&lt;&gt;C28,VLOOKUP(D27,$C$29:$D$48,2,FALSE),C28)</f>
        <v>NCHN007008470000</v>
      </c>
      <c r="E28" s="38"/>
      <c r="F28" s="11"/>
      <c r="G28" s="2"/>
    </row>
    <row r="29" spans="1:15">
      <c r="B29" s="15"/>
      <c r="C29" s="22" t="s">
        <v>393</v>
      </c>
      <c r="D29" s="45" t="s">
        <v>664</v>
      </c>
      <c r="E29" s="40"/>
      <c r="F29" s="11"/>
      <c r="G29" s="2"/>
    </row>
    <row r="30" spans="1:15">
      <c r="B30" s="15"/>
      <c r="C30" s="22" t="s">
        <v>394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428</v>
      </c>
      <c r="D38" s="46"/>
      <c r="E38" s="40"/>
      <c r="F38" s="47"/>
      <c r="G38" s="2"/>
    </row>
    <row r="39" spans="2:7">
      <c r="B39" s="15"/>
      <c r="C39" s="22" t="s">
        <v>429</v>
      </c>
      <c r="D39" s="46"/>
      <c r="E39" s="40"/>
      <c r="F39" s="47"/>
      <c r="G39" s="2"/>
    </row>
    <row r="40" spans="2:7">
      <c r="B40" s="15"/>
      <c r="C40" s="22" t="s">
        <v>430</v>
      </c>
      <c r="D40" s="46"/>
      <c r="E40" s="40"/>
      <c r="F40" s="47"/>
      <c r="G40" s="2"/>
    </row>
    <row r="41" spans="2:7">
      <c r="B41" s="15"/>
      <c r="C41" s="22" t="s">
        <v>431</v>
      </c>
      <c r="D41" s="46"/>
      <c r="E41" s="40"/>
      <c r="F41" s="47"/>
      <c r="G41" s="2"/>
    </row>
    <row r="42" spans="2:7">
      <c r="B42" s="15"/>
      <c r="C42" s="22" t="s">
        <v>432</v>
      </c>
      <c r="D42" s="46"/>
      <c r="E42" s="40"/>
      <c r="F42" s="47"/>
      <c r="G42" s="2"/>
    </row>
    <row r="43" spans="2:7">
      <c r="B43" s="15"/>
      <c r="C43" s="22" t="s">
        <v>433</v>
      </c>
      <c r="D43" s="46"/>
      <c r="E43" s="40"/>
      <c r="F43" s="47"/>
      <c r="G43" s="2"/>
    </row>
    <row r="44" spans="2:7">
      <c r="B44" s="15"/>
      <c r="C44" s="22" t="s">
        <v>434</v>
      </c>
      <c r="D44" s="46"/>
      <c r="E44" s="40"/>
      <c r="F44" s="47"/>
      <c r="G44" s="2"/>
    </row>
    <row r="45" spans="2:7">
      <c r="B45" s="15"/>
      <c r="C45" s="22" t="s">
        <v>435</v>
      </c>
      <c r="D45" s="46"/>
      <c r="E45" s="40"/>
      <c r="F45" s="47"/>
      <c r="G45" s="2"/>
    </row>
    <row r="46" spans="2:7">
      <c r="B46" s="15"/>
      <c r="C46" s="22" t="s">
        <v>436</v>
      </c>
      <c r="D46" s="46"/>
      <c r="E46" s="40"/>
      <c r="F46" s="47"/>
    </row>
    <row r="47" spans="2:7">
      <c r="B47" s="15"/>
      <c r="C47" s="22" t="s">
        <v>437</v>
      </c>
      <c r="D47" s="46"/>
      <c r="E47" s="40"/>
      <c r="F47" s="47"/>
    </row>
    <row r="48" spans="2:7">
      <c r="B48" s="15"/>
      <c r="C48" s="22" t="s">
        <v>438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30:D48">
    <cfRule type="expression" dxfId="59" priority="3">
      <formula>IF(CELL("Zeile",D30)&lt;$D$25+CELL("Zeile",$D$29),1,0)</formula>
    </cfRule>
  </conditionalFormatting>
  <conditionalFormatting sqref="D30:D48">
    <cfRule type="expression" dxfId="58" priority="2">
      <formula>IF(CELL(D30)&lt;$D$27+27,1,0)</formula>
    </cfRule>
  </conditionalFormatting>
  <conditionalFormatting sqref="D29">
    <cfRule type="expression" dxfId="57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topLeftCell="A7" zoomScaleNormal="100" workbookViewId="0">
      <selection activeCell="D25" sqref="D2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442</v>
      </c>
      <c r="D5" s="58" t="str">
        <f>Netzbetreiber!$D$9</f>
        <v>Stadtwerke Kleve GmbH</v>
      </c>
      <c r="H5" s="68"/>
      <c r="I5" s="68"/>
      <c r="J5" s="68"/>
      <c r="K5" s="68"/>
    </row>
    <row r="6" spans="2:15" ht="15" customHeight="1">
      <c r="B6" s="22"/>
      <c r="C6" s="62" t="s">
        <v>441</v>
      </c>
      <c r="D6" s="58" t="str">
        <f>Netzbetreiber!D28</f>
        <v>NCHN007008470000</v>
      </c>
      <c r="E6" s="15"/>
      <c r="H6" s="68"/>
      <c r="I6" s="68"/>
      <c r="J6" s="68"/>
      <c r="K6" s="68"/>
    </row>
    <row r="7" spans="2:15" ht="15" customHeight="1">
      <c r="B7" s="22"/>
      <c r="C7" s="60" t="s">
        <v>485</v>
      </c>
      <c r="D7" s="61" t="str">
        <f>Netzbetreiber!$D$11</f>
        <v>9870084700004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44378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7" t="s">
        <v>616</v>
      </c>
      <c r="I11" s="277" t="s">
        <v>617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653</v>
      </c>
      <c r="D13" s="42" t="s">
        <v>670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73"/>
      <c r="I14" s="273"/>
      <c r="J14" s="273"/>
      <c r="K14" s="273"/>
      <c r="L14" s="274"/>
    </row>
    <row r="15" spans="2:15" ht="15" customHeight="1">
      <c r="B15" s="7" t="s">
        <v>83</v>
      </c>
      <c r="C15" s="31" t="s">
        <v>366</v>
      </c>
      <c r="D15" s="49" t="s">
        <v>257</v>
      </c>
      <c r="E15" s="15"/>
      <c r="H15" s="275" t="s">
        <v>257</v>
      </c>
      <c r="I15" s="275" t="s">
        <v>135</v>
      </c>
      <c r="J15" s="273"/>
      <c r="K15" s="273"/>
      <c r="L15" s="274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6" t="s">
        <v>575</v>
      </c>
      <c r="I16" s="276" t="s">
        <v>486</v>
      </c>
      <c r="J16" s="273"/>
      <c r="K16" s="273"/>
      <c r="L16" s="274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6" t="s">
        <v>487</v>
      </c>
      <c r="I17" s="276" t="s">
        <v>488</v>
      </c>
      <c r="J17" s="273"/>
      <c r="K17" s="273"/>
      <c r="L17" s="274"/>
    </row>
    <row r="18" spans="2:16" ht="15" customHeight="1">
      <c r="B18" s="22"/>
      <c r="C18" s="32"/>
      <c r="D18" s="16"/>
      <c r="E18" s="15"/>
      <c r="H18" s="276"/>
      <c r="I18" s="276"/>
      <c r="J18" s="273"/>
      <c r="K18" s="273"/>
      <c r="L18" s="274"/>
    </row>
    <row r="19" spans="2:16" ht="15" customHeight="1">
      <c r="B19" s="7" t="s">
        <v>84</v>
      </c>
      <c r="C19" s="8" t="s">
        <v>613</v>
      </c>
      <c r="D19" s="49" t="s">
        <v>609</v>
      </c>
      <c r="E19" s="15"/>
      <c r="H19" s="273" t="s">
        <v>609</v>
      </c>
      <c r="I19" s="273" t="s">
        <v>610</v>
      </c>
      <c r="J19" s="273"/>
      <c r="K19" s="8"/>
      <c r="L19" s="274"/>
    </row>
    <row r="20" spans="2:16" ht="15" customHeight="1">
      <c r="B20" s="7"/>
      <c r="C20" s="8" t="str">
        <f>HLOOKUP(D19,H19:I20,2,0)</f>
        <v>nach TU-München Verfahren</v>
      </c>
      <c r="D20" s="49" t="s">
        <v>611</v>
      </c>
      <c r="E20" s="15"/>
      <c r="H20" s="273" t="s">
        <v>612</v>
      </c>
      <c r="I20" s="8" t="s">
        <v>608</v>
      </c>
      <c r="J20" s="8"/>
      <c r="K20" s="8"/>
      <c r="L20" s="274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3" t="s">
        <v>611</v>
      </c>
      <c r="I21" s="273" t="s">
        <v>618</v>
      </c>
      <c r="J21" s="8"/>
      <c r="K21" s="8"/>
      <c r="L21" s="276" t="s">
        <v>619</v>
      </c>
      <c r="M21" s="276" t="s">
        <v>621</v>
      </c>
      <c r="N21" s="276" t="s">
        <v>620</v>
      </c>
      <c r="O21" s="8"/>
      <c r="P21" s="274"/>
    </row>
    <row r="22" spans="2:16" ht="15" customHeight="1">
      <c r="B22" s="22"/>
      <c r="C22" s="24"/>
      <c r="D22" s="15"/>
      <c r="E22" s="15"/>
      <c r="H22" s="273"/>
      <c r="I22" s="273"/>
      <c r="J22" s="273"/>
      <c r="K22" s="273"/>
      <c r="L22" s="274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5" t="s">
        <v>134</v>
      </c>
      <c r="I23" s="275" t="s">
        <v>136</v>
      </c>
      <c r="J23" s="273"/>
      <c r="K23" s="273"/>
      <c r="L23" s="274"/>
    </row>
    <row r="24" spans="2:16" ht="15" customHeight="1">
      <c r="B24" s="7"/>
      <c r="C24" s="6" t="s">
        <v>622</v>
      </c>
      <c r="D24" s="42" t="s">
        <v>623</v>
      </c>
      <c r="E24" s="15"/>
      <c r="H24" s="309" t="s">
        <v>623</v>
      </c>
      <c r="I24" s="275" t="s">
        <v>624</v>
      </c>
      <c r="J24" s="275" t="s">
        <v>625</v>
      </c>
      <c r="K24" s="273"/>
      <c r="L24" s="274"/>
    </row>
    <row r="25" spans="2:16" ht="15" customHeight="1">
      <c r="B25" s="22"/>
      <c r="C25" s="15" t="str">
        <f>HLOOKUP(D24,H24:J25,2,0)</f>
        <v>=&gt; Q(Allokation)  =  Q(Synth.);    F(kor) = 1</v>
      </c>
      <c r="D25" s="310">
        <v>1</v>
      </c>
      <c r="E25" s="15"/>
      <c r="H25" s="276" t="s">
        <v>626</v>
      </c>
      <c r="I25" s="276" t="s">
        <v>627</v>
      </c>
      <c r="J25" s="276" t="s">
        <v>628</v>
      </c>
      <c r="K25" s="273"/>
      <c r="L25" s="274"/>
    </row>
    <row r="26" spans="2:16" ht="15" customHeight="1">
      <c r="B26" s="22"/>
      <c r="C26" s="15" t="str">
        <f>HLOOKUP(D24,H24:J26,3,0)</f>
        <v xml:space="preserve"> </v>
      </c>
      <c r="D26" s="311"/>
      <c r="E26" s="15"/>
      <c r="H26" s="276" t="s">
        <v>629</v>
      </c>
      <c r="I26" s="276" t="s">
        <v>630</v>
      </c>
      <c r="J26" s="276" t="s">
        <v>631</v>
      </c>
      <c r="K26" s="273"/>
      <c r="L26" s="274"/>
    </row>
    <row r="27" spans="2:16" ht="15" customHeight="1">
      <c r="B27" s="22"/>
      <c r="C27" s="24"/>
      <c r="D27" s="15"/>
      <c r="E27" s="15"/>
      <c r="H27" s="273"/>
      <c r="I27" s="273"/>
      <c r="J27" s="273"/>
      <c r="K27" s="273"/>
      <c r="L27" s="274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5" t="s">
        <v>134</v>
      </c>
      <c r="I28" s="275" t="s">
        <v>136</v>
      </c>
      <c r="J28" s="273"/>
      <c r="K28" s="273"/>
      <c r="L28" s="274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6" t="s">
        <v>632</v>
      </c>
      <c r="I29" s="276" t="s">
        <v>633</v>
      </c>
      <c r="J29" s="273"/>
      <c r="K29" s="273"/>
      <c r="L29" s="274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6" t="s">
        <v>634</v>
      </c>
      <c r="I30" s="273" t="s">
        <v>629</v>
      </c>
      <c r="J30" s="273"/>
      <c r="K30" s="273"/>
      <c r="L30" s="274"/>
    </row>
    <row r="31" spans="2:16" ht="15" customHeight="1">
      <c r="B31" s="22"/>
      <c r="C31" s="24"/>
      <c r="D31" s="15"/>
      <c r="E31" s="15"/>
      <c r="H31" s="273"/>
      <c r="I31" s="273"/>
      <c r="J31" s="273"/>
      <c r="K31" s="273"/>
      <c r="L31" s="274"/>
    </row>
    <row r="32" spans="2:16" ht="15" customHeight="1">
      <c r="B32" s="23" t="s">
        <v>491</v>
      </c>
      <c r="C32" s="24" t="s">
        <v>493</v>
      </c>
      <c r="D32" s="269">
        <v>4</v>
      </c>
      <c r="E32" s="15"/>
      <c r="H32" s="273"/>
      <c r="I32" s="273"/>
      <c r="J32" s="273"/>
      <c r="K32" s="273"/>
      <c r="L32" s="274"/>
    </row>
    <row r="33" spans="2:39" ht="15" customHeight="1">
      <c r="B33" s="22"/>
      <c r="C33" s="24"/>
      <c r="D33" s="15"/>
      <c r="E33" s="15"/>
      <c r="H33" s="273"/>
      <c r="I33" s="273"/>
      <c r="J33" s="273"/>
      <c r="K33" s="273"/>
      <c r="L33" s="274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3"/>
      <c r="J34" s="273"/>
      <c r="K34" s="273"/>
      <c r="L34" s="273"/>
      <c r="M34" s="274"/>
    </row>
    <row r="35" spans="2:39" customFormat="1" ht="15" customHeight="1">
      <c r="C35" s="8" t="s">
        <v>489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8"/>
      <c r="I37" s="68"/>
      <c r="J37" s="68"/>
      <c r="K37" s="68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60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5" t="s">
        <v>665</v>
      </c>
    </row>
    <row r="46" spans="2:39" ht="18" customHeight="1">
      <c r="C46" s="22" t="s">
        <v>587</v>
      </c>
      <c r="D46" s="45"/>
    </row>
    <row r="47" spans="2:39" ht="18" customHeight="1">
      <c r="C47" s="22" t="s">
        <v>588</v>
      </c>
      <c r="D47" s="45"/>
    </row>
    <row r="48" spans="2:39" ht="18" customHeight="1">
      <c r="C48" s="22" t="s">
        <v>589</v>
      </c>
      <c r="D48" s="45"/>
    </row>
    <row r="49" spans="3:4" ht="18" customHeight="1">
      <c r="C49" s="22" t="s">
        <v>590</v>
      </c>
      <c r="D49" s="45"/>
    </row>
    <row r="50" spans="3:4" ht="18" customHeight="1">
      <c r="C50" s="22" t="s">
        <v>591</v>
      </c>
      <c r="D50" s="45"/>
    </row>
    <row r="51" spans="3:4" ht="18" customHeight="1">
      <c r="C51" s="22" t="s">
        <v>592</v>
      </c>
      <c r="D51" s="45"/>
    </row>
    <row r="52" spans="3:4" ht="18" customHeight="1">
      <c r="C52" s="22" t="s">
        <v>593</v>
      </c>
      <c r="D52" s="45"/>
    </row>
    <row r="53" spans="3:4" ht="18" customHeight="1">
      <c r="C53" s="22" t="s">
        <v>594</v>
      </c>
      <c r="D53" s="45"/>
    </row>
    <row r="54" spans="3:4" ht="18" customHeight="1">
      <c r="C54" s="22" t="s">
        <v>595</v>
      </c>
      <c r="D54" s="45"/>
    </row>
    <row r="55" spans="3:4" ht="18" customHeight="1">
      <c r="C55" s="22" t="s">
        <v>596</v>
      </c>
      <c r="D55" s="45"/>
    </row>
    <row r="56" spans="3:4" ht="18" customHeight="1">
      <c r="C56" s="22" t="s">
        <v>597</v>
      </c>
      <c r="D56" s="45"/>
    </row>
    <row r="57" spans="3:4" ht="18" customHeight="1">
      <c r="C57" s="22" t="s">
        <v>598</v>
      </c>
      <c r="D57" s="45"/>
    </row>
    <row r="58" spans="3:4" ht="18" customHeight="1">
      <c r="C58" s="22" t="s">
        <v>599</v>
      </c>
      <c r="D58" s="45"/>
    </row>
    <row r="59" spans="3:4" ht="18" customHeight="1">
      <c r="C59" s="22" t="s">
        <v>600</v>
      </c>
      <c r="D59" s="45"/>
    </row>
  </sheetData>
  <conditionalFormatting sqref="D46:D59">
    <cfRule type="expression" dxfId="56" priority="18">
      <formula>IF(CELL("Zeile",D46)&lt;$D$43+CELL("Zeile",$D$45),1,0)</formula>
    </cfRule>
  </conditionalFormatting>
  <conditionalFormatting sqref="D46:D59">
    <cfRule type="expression" dxfId="55" priority="17">
      <formula>IF(CELL(D46)&lt;$D$33+27,1,0)</formula>
    </cfRule>
  </conditionalFormatting>
  <conditionalFormatting sqref="D20">
    <cfRule type="expression" dxfId="54" priority="16">
      <formula>IF($D$19=$H$19,1,0)</formula>
    </cfRule>
  </conditionalFormatting>
  <conditionalFormatting sqref="D28">
    <cfRule type="expression" dxfId="53" priority="5">
      <formula>IF($D$15="synthetisch",1,0)</formula>
    </cfRule>
  </conditionalFormatting>
  <conditionalFormatting sqref="D25">
    <cfRule type="expression" dxfId="52" priority="3">
      <formula>IF(AND($D$24=$I$24,$D$23=$H$23),1,0)</formula>
    </cfRule>
  </conditionalFormatting>
  <conditionalFormatting sqref="D23:D25">
    <cfRule type="expression" dxfId="51" priority="6">
      <formula>IF($D$15="analytisch",1,0)</formula>
    </cfRule>
  </conditionalFormatting>
  <conditionalFormatting sqref="D24">
    <cfRule type="expression" dxfId="50" priority="4">
      <formula>IF($D$23="nein",1)</formula>
    </cfRule>
  </conditionalFormatting>
  <conditionalFormatting sqref="D13">
    <cfRule type="expression" dxfId="49" priority="2">
      <formula>IF($D$11="Gaspool",1,0)</formula>
    </cfRule>
  </conditionalFormatting>
  <conditionalFormatting sqref="D45">
    <cfRule type="expression" dxfId="48" priority="1">
      <formula>IF(CELL("Zeile",D45)&lt;$D$46+CELL("Zeile",$D$48),1,0)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zoomScale="115" zoomScaleNormal="115" workbookViewId="0">
      <selection activeCell="E5" sqref="E5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22" style="129" customWidth="1"/>
    <col min="6" max="14" width="12.7109375" style="129" customWidth="1"/>
    <col min="15" max="15" width="48.28515625" style="129" customWidth="1"/>
    <col min="16" max="16" width="7.28515625" style="171" hidden="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1:56" ht="75" customHeight="1"/>
    <row r="2" spans="1:56" ht="23.25">
      <c r="B2" s="172" t="s">
        <v>544</v>
      </c>
    </row>
    <row r="3" spans="1:56" ht="15" customHeight="1">
      <c r="B3" s="172"/>
    </row>
    <row r="4" spans="1:56">
      <c r="B4" s="131"/>
      <c r="C4" s="56" t="s">
        <v>442</v>
      </c>
      <c r="D4" s="57"/>
      <c r="E4" s="58" t="s">
        <v>657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t="s">
        <v>670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 t="s">
        <v>658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44378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585</v>
      </c>
      <c r="D10" s="131"/>
      <c r="E10" s="131"/>
      <c r="F10" s="49">
        <v>1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603</v>
      </c>
      <c r="D11" s="131"/>
      <c r="E11" s="131"/>
      <c r="F11" s="353" t="str">
        <f>INDEX('SLP-Verfahren'!D45:D59,'SLP-Temp-Gebiet #01'!F10)</f>
        <v>Wetterstation Kleve DWD-ID: H203</v>
      </c>
      <c r="G11" s="353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4" t="s">
        <v>584</v>
      </c>
      <c r="D13" s="354"/>
      <c r="E13" s="354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5" t="s">
        <v>445</v>
      </c>
      <c r="D14" s="355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1:56" ht="19.5" customHeight="1">
      <c r="B15" s="131"/>
      <c r="C15" s="355" t="s">
        <v>385</v>
      </c>
      <c r="D15" s="355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/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1:28" ht="19.5" customHeight="1">
      <c r="B17" s="177" t="s">
        <v>517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1:28">
      <c r="B18" s="131"/>
      <c r="C18" s="56" t="s">
        <v>523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1:28" ht="33.75" customHeight="1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84"/>
      <c r="C21" s="185" t="s">
        <v>525</v>
      </c>
      <c r="D21" s="154" t="s">
        <v>515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84"/>
      <c r="C22" s="185" t="s">
        <v>537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>
        <f>O15</f>
        <v>0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84"/>
      <c r="C24" s="188" t="s">
        <v>520</v>
      </c>
      <c r="D24" s="189"/>
      <c r="E24" s="157" t="s">
        <v>660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84"/>
      <c r="C25" s="188" t="s">
        <v>514</v>
      </c>
      <c r="D25" s="189"/>
      <c r="E25" s="161" t="s">
        <v>666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84"/>
      <c r="C26" s="188" t="s">
        <v>141</v>
      </c>
      <c r="D26" s="189"/>
      <c r="E26" s="157" t="s">
        <v>655</v>
      </c>
      <c r="F26" s="157" t="s">
        <v>503</v>
      </c>
      <c r="G26" s="157" t="s">
        <v>503</v>
      </c>
      <c r="H26" s="157" t="s">
        <v>503</v>
      </c>
      <c r="I26" s="157" t="s">
        <v>503</v>
      </c>
      <c r="J26" s="157" t="s">
        <v>503</v>
      </c>
      <c r="K26" s="157" t="s">
        <v>503</v>
      </c>
      <c r="L26" s="157" t="s">
        <v>503</v>
      </c>
      <c r="M26" s="157" t="s">
        <v>503</v>
      </c>
      <c r="N26" s="157" t="s">
        <v>503</v>
      </c>
      <c r="O26" s="186" t="s">
        <v>142</v>
      </c>
      <c r="Q26" s="212"/>
      <c r="R26" s="210" t="s">
        <v>503</v>
      </c>
      <c r="S26" s="210" t="s">
        <v>655</v>
      </c>
      <c r="T26" s="210" t="s">
        <v>656</v>
      </c>
      <c r="U26" s="210" t="s">
        <v>504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48"/>
      <c r="C27" s="349" t="s">
        <v>654</v>
      </c>
      <c r="D27" s="350"/>
      <c r="E27" s="350" t="str">
        <f>IF(E26="Individuelle GPT",CONCATENATE(Netzbetreiber!$D$11,'SLP-Temp-Gebiet #01'!E25,"B"),IF('SLP-Temp-Gebiet #01'!E26="Allgemeine GPT",CONCATENATE(Netzbetreiber!$D$11,'SLP-Temp-Gebiet #01'!E25,"A"),""))</f>
        <v>9870084700004H203B</v>
      </c>
      <c r="F27" s="350" t="str">
        <f>IF(F26="Individuelle GPT",CONCATENATE(Netzbetreiber!$D$11,'SLP-Temp-Gebiet #01'!F25,"B"),IF('SLP-Temp-Gebiet #01'!F26="Allgemeine GPT",CONCATENATE(Netzbetreiber!$D$11,'SLP-Temp-Gebiet #01'!F25,"A"),""))</f>
        <v/>
      </c>
      <c r="G27" s="350" t="str">
        <f>IF(G26="Individuelle GPT",CONCATENATE(Netzbetreiber!$D$11,'SLP-Temp-Gebiet #01'!G25,"B"),IF('SLP-Temp-Gebiet #01'!G26="Allgemeine GPT",CONCATENATE(Netzbetreiber!$D$11,'SLP-Temp-Gebiet #01'!G25,"A"),""))</f>
        <v/>
      </c>
      <c r="H27" s="350" t="str">
        <f>IF(H26="Individuelle GPT",CONCATENATE(Netzbetreiber!$D$11,'SLP-Temp-Gebiet #01'!H25,"B"),IF('SLP-Temp-Gebiet #01'!H26="Allgemeine GPT",CONCATENATE(Netzbetreiber!$D$11,'SLP-Temp-Gebiet #01'!H25,"A"),""))</f>
        <v/>
      </c>
      <c r="I27" s="350" t="str">
        <f>IF(I26="Individuelle GPT",CONCATENATE(Netzbetreiber!$D$11,'SLP-Temp-Gebiet #01'!I25,"B"),IF('SLP-Temp-Gebiet #01'!I26="Allgemeine GPT",CONCATENATE(Netzbetreiber!$D$11,'SLP-Temp-Gebiet #01'!I25,"A"),""))</f>
        <v/>
      </c>
      <c r="J27" s="350" t="str">
        <f>IF(J26="Individuelle GPT",CONCATENATE(Netzbetreiber!$D$11,'SLP-Temp-Gebiet #01'!J25,"B"),IF('SLP-Temp-Gebiet #01'!J26="Allgemeine GPT",CONCATENATE(Netzbetreiber!$D$11,'SLP-Temp-Gebiet #01'!J25,"A"),""))</f>
        <v/>
      </c>
      <c r="K27" s="350" t="str">
        <f>IF(K26="Individuelle GPT",CONCATENATE(Netzbetreiber!$D$11,'SLP-Temp-Gebiet #01'!K25,"B"),IF('SLP-Temp-Gebiet #01'!K26="Allgemeine GPT",CONCATENATE(Netzbetreiber!$D$11,'SLP-Temp-Gebiet #01'!K25,"A"),""))</f>
        <v/>
      </c>
      <c r="L27" s="350" t="str">
        <f>IF(L26="Individuelle GPT",CONCATENATE(Netzbetreiber!$D$11,'SLP-Temp-Gebiet #01'!L25,"B"),IF('SLP-Temp-Gebiet #01'!L26="Allgemeine GPT",CONCATENATE(Netzbetreiber!$D$11,'SLP-Temp-Gebiet #01'!L25,"A"),""))</f>
        <v/>
      </c>
      <c r="M27" s="350" t="str">
        <f>IF(M26="Individuelle GPT",CONCATENATE(Netzbetreiber!$D$11,'SLP-Temp-Gebiet #01'!M25,"B"),IF('SLP-Temp-Gebiet #01'!M26="Allgemeine GPT",CONCATENATE(Netzbetreiber!$D$11,'SLP-Temp-Gebiet #01'!M25,"A"),""))</f>
        <v/>
      </c>
      <c r="N27" s="350" t="str">
        <f>IF(N26="Individuelle GPT",CONCATENATE(Netzbetreiber!$D$11,'SLP-Temp-Gebiet #01'!N25,"B"),IF('SLP-Temp-Gebiet #01'!N26="Allgemeine GPT",CONCATENATE(Netzbetreiber!$D$11,'SLP-Temp-Gebiet #01'!N25,"A"),""))</f>
        <v/>
      </c>
      <c r="O27" s="351" t="s">
        <v>143</v>
      </c>
      <c r="P27" s="13"/>
      <c r="Q27" s="212"/>
      <c r="R27" s="210" t="s">
        <v>503</v>
      </c>
      <c r="S27" s="210" t="s">
        <v>504</v>
      </c>
    </row>
    <row r="28" spans="1:28">
      <c r="B28" s="184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Q28" s="212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519</v>
      </c>
      <c r="D29" s="131"/>
      <c r="E29" s="131"/>
      <c r="F29" s="49">
        <v>1</v>
      </c>
      <c r="H29" s="131"/>
      <c r="I29" s="173"/>
      <c r="J29" s="131"/>
      <c r="K29" s="131"/>
      <c r="L29" s="131"/>
      <c r="M29" s="131"/>
      <c r="N29" s="131"/>
      <c r="O29" s="131"/>
    </row>
    <row r="30" spans="1:28" ht="15" customHeight="1">
      <c r="E30" s="179">
        <f>IF(E31&gt;$F$29,0,1)</f>
        <v>1</v>
      </c>
      <c r="F30" s="179">
        <f t="shared" ref="F30:N30" si="2">IF(F31&gt;$F$29,0,1)</f>
        <v>0</v>
      </c>
      <c r="G30" s="179">
        <f t="shared" si="2"/>
        <v>0</v>
      </c>
      <c r="H30" s="179">
        <f t="shared" si="2"/>
        <v>0</v>
      </c>
      <c r="I30" s="179">
        <f t="shared" si="2"/>
        <v>0</v>
      </c>
      <c r="J30" s="179">
        <f t="shared" si="2"/>
        <v>0</v>
      </c>
      <c r="K30" s="179">
        <f t="shared" si="2"/>
        <v>0</v>
      </c>
      <c r="L30" s="179">
        <f t="shared" si="2"/>
        <v>0</v>
      </c>
      <c r="M30" s="179">
        <f t="shared" si="2"/>
        <v>0</v>
      </c>
      <c r="N30" s="179">
        <f t="shared" si="2"/>
        <v>0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84"/>
      <c r="C31" s="180" t="s">
        <v>140</v>
      </c>
      <c r="D31" s="181" t="s">
        <v>256</v>
      </c>
      <c r="E31" s="192">
        <v>1</v>
      </c>
      <c r="F31" s="192">
        <v>2</v>
      </c>
      <c r="G31" s="192">
        <v>3</v>
      </c>
      <c r="H31" s="192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83" t="s">
        <v>144</v>
      </c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84"/>
      <c r="C32" s="185" t="s">
        <v>526</v>
      </c>
      <c r="D32" s="187" t="s">
        <v>255</v>
      </c>
      <c r="E32" s="288">
        <f>1-SUMPRODUCT(F30:N30,F32:N32)</f>
        <v>1</v>
      </c>
      <c r="F32" s="288">
        <f>ROUND(F33/$D$33,4)</f>
        <v>0.5</v>
      </c>
      <c r="G32" s="288">
        <f t="shared" ref="G32:N32" si="3">ROUND(G33/$D$33,4)</f>
        <v>0.25</v>
      </c>
      <c r="H32" s="288">
        <f t="shared" si="3"/>
        <v>0.125</v>
      </c>
      <c r="I32" s="288">
        <f t="shared" si="3"/>
        <v>0</v>
      </c>
      <c r="J32" s="288">
        <f t="shared" si="3"/>
        <v>0</v>
      </c>
      <c r="K32" s="288">
        <f t="shared" si="3"/>
        <v>0</v>
      </c>
      <c r="L32" s="288">
        <f t="shared" si="3"/>
        <v>0</v>
      </c>
      <c r="M32" s="288">
        <f t="shared" si="3"/>
        <v>0</v>
      </c>
      <c r="N32" s="288">
        <f t="shared" si="3"/>
        <v>0</v>
      </c>
      <c r="O32" s="186"/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5" t="s">
        <v>533</v>
      </c>
      <c r="D33" s="294">
        <f>SUMPRODUCT(E33:N33,E30:N30)</f>
        <v>1</v>
      </c>
      <c r="E33" s="289">
        <v>1</v>
      </c>
      <c r="F33" s="289">
        <v>0.5</v>
      </c>
      <c r="G33" s="289">
        <v>0.25</v>
      </c>
      <c r="H33" s="289">
        <v>0.125</v>
      </c>
      <c r="I33" s="156"/>
      <c r="J33" s="156"/>
      <c r="K33" s="156"/>
      <c r="L33" s="156"/>
      <c r="M33" s="156"/>
      <c r="N33" s="156"/>
      <c r="O33" s="186" t="s">
        <v>145</v>
      </c>
      <c r="Q33" s="212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84"/>
      <c r="C34" s="188" t="s">
        <v>359</v>
      </c>
      <c r="D34" s="154" t="s">
        <v>358</v>
      </c>
      <c r="E34" s="157" t="s">
        <v>3</v>
      </c>
      <c r="F34" s="157" t="s">
        <v>357</v>
      </c>
      <c r="G34" s="157" t="s">
        <v>348</v>
      </c>
      <c r="H34" s="157" t="s">
        <v>349</v>
      </c>
      <c r="I34" s="157"/>
      <c r="J34" s="157"/>
      <c r="K34" s="157"/>
      <c r="L34" s="157"/>
      <c r="M34" s="157"/>
      <c r="N34" s="157"/>
      <c r="O34" s="186" t="s">
        <v>142</v>
      </c>
      <c r="Q34" s="212"/>
      <c r="R34" s="68" t="s">
        <v>3</v>
      </c>
      <c r="S34" s="68" t="s">
        <v>357</v>
      </c>
      <c r="T34" s="68" t="s">
        <v>348</v>
      </c>
      <c r="U34" s="68" t="s">
        <v>349</v>
      </c>
      <c r="V34" s="68" t="s">
        <v>350</v>
      </c>
      <c r="W34" s="68" t="s">
        <v>351</v>
      </c>
      <c r="X34" s="68" t="s">
        <v>352</v>
      </c>
      <c r="Y34" s="68" t="s">
        <v>353</v>
      </c>
      <c r="Z34" s="68" t="s">
        <v>354</v>
      </c>
      <c r="AA34" s="68" t="s">
        <v>355</v>
      </c>
      <c r="AB34" s="68" t="s">
        <v>356</v>
      </c>
    </row>
    <row r="35" spans="2:28">
      <c r="B35" s="184"/>
      <c r="C35" s="188" t="s">
        <v>448</v>
      </c>
      <c r="D35" s="154" t="s">
        <v>447</v>
      </c>
      <c r="E35" s="157" t="s">
        <v>511</v>
      </c>
      <c r="F35" s="157" t="s">
        <v>511</v>
      </c>
      <c r="G35" s="157" t="s">
        <v>511</v>
      </c>
      <c r="H35" s="157" t="s">
        <v>511</v>
      </c>
      <c r="I35" s="163"/>
      <c r="J35" s="163"/>
      <c r="K35" s="163"/>
      <c r="L35" s="163"/>
      <c r="M35" s="163"/>
      <c r="N35" s="163"/>
      <c r="O35" s="186" t="s">
        <v>142</v>
      </c>
      <c r="Q35" s="212"/>
      <c r="R35" s="68" t="s">
        <v>511</v>
      </c>
      <c r="S35" s="68" t="s">
        <v>512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88" t="s">
        <v>605</v>
      </c>
      <c r="D36" s="154" t="s">
        <v>606</v>
      </c>
      <c r="E36" s="157" t="s">
        <v>604</v>
      </c>
      <c r="F36" s="157" t="s">
        <v>604</v>
      </c>
      <c r="G36" s="157" t="s">
        <v>604</v>
      </c>
      <c r="H36" s="157" t="s">
        <v>604</v>
      </c>
      <c r="I36" s="157" t="s">
        <v>604</v>
      </c>
      <c r="J36" s="157" t="s">
        <v>604</v>
      </c>
      <c r="K36" s="157" t="s">
        <v>604</v>
      </c>
      <c r="L36" s="157" t="s">
        <v>604</v>
      </c>
      <c r="M36" s="157" t="s">
        <v>604</v>
      </c>
      <c r="N36" s="157" t="s">
        <v>604</v>
      </c>
      <c r="O36" s="186" t="s">
        <v>142</v>
      </c>
      <c r="Q36" s="212"/>
      <c r="R36" s="68" t="s">
        <v>604</v>
      </c>
      <c r="S36" s="68" t="s">
        <v>607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84"/>
      <c r="C37" s="193" t="s">
        <v>440</v>
      </c>
      <c r="D37" s="120" t="s">
        <v>538</v>
      </c>
      <c r="E37" s="163" t="s">
        <v>449</v>
      </c>
      <c r="F37" s="163" t="s">
        <v>449</v>
      </c>
      <c r="G37" s="163" t="s">
        <v>450</v>
      </c>
      <c r="H37" s="163" t="s">
        <v>450</v>
      </c>
      <c r="I37" s="163"/>
      <c r="J37" s="163"/>
      <c r="K37" s="163"/>
      <c r="L37" s="163"/>
      <c r="M37" s="163"/>
      <c r="N37" s="163"/>
      <c r="O37" s="186" t="s">
        <v>142</v>
      </c>
      <c r="Q37" s="212"/>
      <c r="R37" s="68" t="s">
        <v>450</v>
      </c>
      <c r="S37" s="68" t="s">
        <v>449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.7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94"/>
      <c r="C39" s="195" t="s">
        <v>267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8">
      <c r="B40" s="194"/>
      <c r="C40" s="198" t="s">
        <v>347</v>
      </c>
      <c r="D40" s="199"/>
      <c r="E40" s="199" t="s">
        <v>531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532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198"/>
      <c r="D42" s="199"/>
      <c r="E42" s="199" t="s">
        <v>524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529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 t="s">
        <v>530</v>
      </c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201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198" t="s">
        <v>535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</row>
    <row r="47" spans="2:28">
      <c r="B47" s="194"/>
      <c r="C47" s="201" t="s">
        <v>536</v>
      </c>
      <c r="D47" s="202" t="s">
        <v>534</v>
      </c>
      <c r="E47" s="295">
        <v>1</v>
      </c>
      <c r="F47" s="295">
        <v>0</v>
      </c>
      <c r="G47" s="295">
        <v>0</v>
      </c>
      <c r="H47" s="295">
        <v>0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>
      <c r="B48" s="194"/>
      <c r="C48" s="201" t="s">
        <v>346</v>
      </c>
      <c r="D48" s="202" t="s">
        <v>534</v>
      </c>
      <c r="E48" s="295">
        <v>1</v>
      </c>
      <c r="F48" s="295">
        <v>0.5</v>
      </c>
      <c r="G48" s="295">
        <v>0.25</v>
      </c>
      <c r="H48" s="295">
        <v>0.125</v>
      </c>
      <c r="I48" s="295">
        <v>0</v>
      </c>
      <c r="J48" s="295" t="s">
        <v>360</v>
      </c>
      <c r="K48" s="199"/>
      <c r="L48" s="199"/>
      <c r="M48" s="199"/>
      <c r="N48" s="199"/>
      <c r="O48" s="200"/>
    </row>
    <row r="49" spans="2:28" ht="15.75" thickBot="1">
      <c r="B49" s="194"/>
      <c r="C49" s="203"/>
      <c r="D49" s="204"/>
      <c r="E49" s="205"/>
      <c r="F49" s="205"/>
      <c r="G49" s="205"/>
      <c r="H49" s="205"/>
      <c r="I49" s="205"/>
      <c r="J49" s="206"/>
      <c r="K49" s="207"/>
      <c r="L49" s="207"/>
      <c r="M49" s="207"/>
      <c r="N49" s="207"/>
      <c r="O49" s="208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75">
      <c r="B51" s="177" t="s">
        <v>579</v>
      </c>
      <c r="C51" s="178"/>
      <c r="D51" s="178"/>
      <c r="E51" s="178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94"/>
      <c r="D52" s="194"/>
      <c r="E52" s="194"/>
      <c r="F52" s="194"/>
      <c r="G52" s="194"/>
      <c r="H52" s="194"/>
      <c r="I52" s="209"/>
      <c r="J52" s="131"/>
      <c r="K52" s="131"/>
      <c r="L52" s="131"/>
      <c r="M52" s="131"/>
      <c r="N52" s="131"/>
      <c r="O52" s="131"/>
    </row>
    <row r="53" spans="2:28">
      <c r="B53" s="131"/>
      <c r="C53" s="56" t="s">
        <v>543</v>
      </c>
      <c r="D53" s="131"/>
      <c r="E53" s="131"/>
      <c r="F53" s="158">
        <f>F18</f>
        <v>1</v>
      </c>
      <c r="H53" s="131"/>
      <c r="I53" s="173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79">
        <f>IF(E55&gt;$F$53,0,1)</f>
        <v>1</v>
      </c>
      <c r="F54" s="179">
        <f t="shared" ref="F54:N54" si="4">IF(F55&gt;$F$53,0,1)</f>
        <v>0</v>
      </c>
      <c r="G54" s="179">
        <f t="shared" si="4"/>
        <v>0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31"/>
    </row>
    <row r="55" spans="2:28" ht="33.75" customHeight="1">
      <c r="B55" s="131"/>
      <c r="C55" s="180" t="s">
        <v>518</v>
      </c>
      <c r="D55" s="181" t="s">
        <v>513</v>
      </c>
      <c r="E55" s="182">
        <v>1</v>
      </c>
      <c r="F55" s="182">
        <v>2</v>
      </c>
      <c r="G55" s="182">
        <v>3</v>
      </c>
      <c r="H55" s="182">
        <v>4</v>
      </c>
      <c r="I55" s="182">
        <v>5</v>
      </c>
      <c r="J55" s="182">
        <v>6</v>
      </c>
      <c r="K55" s="182">
        <v>7</v>
      </c>
      <c r="L55" s="182">
        <v>8</v>
      </c>
      <c r="M55" s="182">
        <v>9</v>
      </c>
      <c r="N55" s="182">
        <v>10</v>
      </c>
      <c r="O55" s="183" t="s">
        <v>144</v>
      </c>
      <c r="W55" s="68"/>
      <c r="X55" s="68"/>
      <c r="Y55" s="68"/>
      <c r="Z55" s="68"/>
      <c r="AA55" s="68"/>
      <c r="AB55" s="68"/>
    </row>
    <row r="56" spans="2:28">
      <c r="B56" s="184"/>
      <c r="C56" s="185" t="s">
        <v>525</v>
      </c>
      <c r="D56" s="154" t="s">
        <v>515</v>
      </c>
      <c r="E56" s="288">
        <f>1-SUMPRODUCT(F54:N54,F56:N56)</f>
        <v>1</v>
      </c>
      <c r="F56" s="288">
        <f>ROUND(F57/$D$57,4)</f>
        <v>1</v>
      </c>
      <c r="G56" s="288">
        <f t="shared" ref="G56:N56" si="5">ROUND(G57/$D$57,4)</f>
        <v>0</v>
      </c>
      <c r="H56" s="288">
        <f t="shared" si="5"/>
        <v>0</v>
      </c>
      <c r="I56" s="288">
        <f t="shared" si="5"/>
        <v>0</v>
      </c>
      <c r="J56" s="288">
        <f t="shared" si="5"/>
        <v>0</v>
      </c>
      <c r="K56" s="288">
        <f t="shared" si="5"/>
        <v>0</v>
      </c>
      <c r="L56" s="288">
        <f t="shared" si="5"/>
        <v>0</v>
      </c>
      <c r="M56" s="288">
        <f t="shared" si="5"/>
        <v>0</v>
      </c>
      <c r="N56" s="288">
        <f t="shared" si="5"/>
        <v>0</v>
      </c>
      <c r="O56" s="186"/>
      <c r="W56" s="68"/>
      <c r="X56" s="68"/>
      <c r="Y56" s="68"/>
      <c r="Z56" s="68"/>
      <c r="AA56" s="68"/>
      <c r="AB56" s="68"/>
    </row>
    <row r="57" spans="2:28">
      <c r="B57" s="184"/>
      <c r="C57" s="185" t="s">
        <v>537</v>
      </c>
      <c r="D57" s="187">
        <f>SUMPRODUCT(E57:N57,E54:N54)</f>
        <v>1</v>
      </c>
      <c r="E57" s="289">
        <f>E22</f>
        <v>1</v>
      </c>
      <c r="F57" s="289">
        <f t="shared" ref="F57:N57" si="6">F22</f>
        <v>1</v>
      </c>
      <c r="G57" s="289">
        <f t="shared" si="6"/>
        <v>0</v>
      </c>
      <c r="H57" s="289">
        <f t="shared" si="6"/>
        <v>0</v>
      </c>
      <c r="I57" s="289">
        <f t="shared" si="6"/>
        <v>0</v>
      </c>
      <c r="J57" s="289">
        <f t="shared" si="6"/>
        <v>0</v>
      </c>
      <c r="K57" s="289">
        <f t="shared" si="6"/>
        <v>0</v>
      </c>
      <c r="L57" s="289">
        <f t="shared" si="6"/>
        <v>0</v>
      </c>
      <c r="M57" s="289">
        <f t="shared" si="6"/>
        <v>0</v>
      </c>
      <c r="N57" s="289">
        <f t="shared" si="6"/>
        <v>0</v>
      </c>
      <c r="O57" s="186" t="s">
        <v>145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137</v>
      </c>
      <c r="D58" s="189"/>
      <c r="E58" s="157" t="s">
        <v>139</v>
      </c>
      <c r="F58" s="157" t="str">
        <f t="shared" ref="F58:N58" si="7">F23</f>
        <v>DWD</v>
      </c>
      <c r="G58" s="157" t="str">
        <f t="shared" si="7"/>
        <v>DWD</v>
      </c>
      <c r="H58" s="157" t="str">
        <f t="shared" si="7"/>
        <v>DWD</v>
      </c>
      <c r="I58" s="157" t="str">
        <f t="shared" si="7"/>
        <v>DWD</v>
      </c>
      <c r="J58" s="157" t="str">
        <f t="shared" si="7"/>
        <v>DWD</v>
      </c>
      <c r="K58" s="157" t="str">
        <f t="shared" si="7"/>
        <v>DWD</v>
      </c>
      <c r="L58" s="157" t="str">
        <f t="shared" si="7"/>
        <v>DWD</v>
      </c>
      <c r="M58" s="157" t="str">
        <f t="shared" si="7"/>
        <v>DWD</v>
      </c>
      <c r="N58" s="157" t="str">
        <f t="shared" si="7"/>
        <v>DWD</v>
      </c>
      <c r="O58" s="186" t="s">
        <v>142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520</v>
      </c>
      <c r="D59" s="189"/>
      <c r="E59" s="157" t="str">
        <f>E24</f>
        <v>Kleve</v>
      </c>
      <c r="F59" s="157" t="str">
        <f t="shared" ref="F59:N59" si="8">F24</f>
        <v>DEF-St.</v>
      </c>
      <c r="G59" s="157">
        <f t="shared" si="8"/>
        <v>0</v>
      </c>
      <c r="H59" s="157">
        <f t="shared" si="8"/>
        <v>0</v>
      </c>
      <c r="I59" s="157">
        <f t="shared" si="8"/>
        <v>0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0</v>
      </c>
      <c r="N59" s="157">
        <f t="shared" si="8"/>
        <v>0</v>
      </c>
      <c r="O59" s="186" t="s">
        <v>521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514</v>
      </c>
      <c r="D60" s="189"/>
      <c r="E60" s="161" t="s">
        <v>666</v>
      </c>
      <c r="F60" s="161" t="str">
        <f t="shared" ref="F60:N60" si="9">F25</f>
        <v>xxxxx</v>
      </c>
      <c r="G60" s="161">
        <f t="shared" si="9"/>
        <v>0</v>
      </c>
      <c r="H60" s="161">
        <f t="shared" si="9"/>
        <v>0</v>
      </c>
      <c r="I60" s="161">
        <f t="shared" si="9"/>
        <v>0</v>
      </c>
      <c r="J60" s="161">
        <f t="shared" si="9"/>
        <v>0</v>
      </c>
      <c r="K60" s="161">
        <f t="shared" si="9"/>
        <v>0</v>
      </c>
      <c r="L60" s="161">
        <f t="shared" si="9"/>
        <v>0</v>
      </c>
      <c r="M60" s="161">
        <f t="shared" si="9"/>
        <v>0</v>
      </c>
      <c r="N60" s="161">
        <f t="shared" si="9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>
      <c r="B61" s="184"/>
      <c r="C61" s="188" t="s">
        <v>141</v>
      </c>
      <c r="D61" s="189"/>
      <c r="E61" s="159" t="s">
        <v>503</v>
      </c>
      <c r="F61" s="159" t="str">
        <f t="shared" ref="F61:N61" si="10">F26</f>
        <v>Temp. (2m)</v>
      </c>
      <c r="G61" s="159" t="str">
        <f t="shared" si="10"/>
        <v>Temp. (2m)</v>
      </c>
      <c r="H61" s="159" t="str">
        <f t="shared" si="10"/>
        <v>Temp. (2m)</v>
      </c>
      <c r="I61" s="159" t="str">
        <f t="shared" si="10"/>
        <v>Temp. (2m)</v>
      </c>
      <c r="J61" s="159" t="str">
        <f t="shared" si="10"/>
        <v>Temp. (2m)</v>
      </c>
      <c r="K61" s="159" t="str">
        <f t="shared" si="10"/>
        <v>Temp. (2m)</v>
      </c>
      <c r="L61" s="159" t="str">
        <f t="shared" si="10"/>
        <v>Temp. (2m)</v>
      </c>
      <c r="M61" s="159" t="str">
        <f t="shared" si="10"/>
        <v>Temp. (2m)</v>
      </c>
      <c r="N61" s="159" t="str">
        <f t="shared" si="10"/>
        <v>Temp. (2m)</v>
      </c>
      <c r="O61" s="186" t="s">
        <v>142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519</v>
      </c>
      <c r="D63" s="131"/>
      <c r="E63" s="131"/>
      <c r="F63" s="158">
        <v>4</v>
      </c>
    </row>
    <row r="64" spans="2:28" ht="15" customHeight="1">
      <c r="E64" s="179">
        <f>IF(E65&gt;$F$63,0,1)</f>
        <v>1</v>
      </c>
      <c r="F64" s="179">
        <f t="shared" ref="F64:N64" si="11">IF(F65&gt;$F$63,0,1)</f>
        <v>1</v>
      </c>
      <c r="G64" s="179">
        <f t="shared" si="11"/>
        <v>1</v>
      </c>
      <c r="H64" s="179">
        <f t="shared" si="11"/>
        <v>1</v>
      </c>
      <c r="I64" s="179">
        <f t="shared" si="11"/>
        <v>0</v>
      </c>
      <c r="J64" s="179">
        <f t="shared" si="11"/>
        <v>0</v>
      </c>
      <c r="K64" s="179">
        <f t="shared" si="11"/>
        <v>0</v>
      </c>
      <c r="L64" s="179">
        <f t="shared" si="11"/>
        <v>0</v>
      </c>
      <c r="M64" s="179">
        <f t="shared" si="11"/>
        <v>0</v>
      </c>
      <c r="N64" s="179">
        <f t="shared" si="11"/>
        <v>0</v>
      </c>
    </row>
    <row r="65" spans="2:15" ht="18" customHeight="1">
      <c r="B65" s="131"/>
      <c r="C65" s="180" t="s">
        <v>140</v>
      </c>
      <c r="D65" s="181" t="s">
        <v>256</v>
      </c>
      <c r="E65" s="192">
        <v>1</v>
      </c>
      <c r="F65" s="192">
        <v>2</v>
      </c>
      <c r="G65" s="192">
        <v>3</v>
      </c>
      <c r="H65" s="192">
        <v>4</v>
      </c>
      <c r="I65" s="192">
        <v>5</v>
      </c>
      <c r="J65" s="192">
        <v>6</v>
      </c>
      <c r="K65" s="192">
        <v>7</v>
      </c>
      <c r="L65" s="192">
        <v>8</v>
      </c>
      <c r="M65" s="192">
        <v>9</v>
      </c>
      <c r="N65" s="192">
        <v>10</v>
      </c>
      <c r="O65" s="183" t="s">
        <v>144</v>
      </c>
    </row>
    <row r="66" spans="2:15">
      <c r="B66" s="184"/>
      <c r="C66" s="185" t="s">
        <v>526</v>
      </c>
      <c r="D66" s="187" t="s">
        <v>255</v>
      </c>
      <c r="E66" s="288">
        <f>1-SUMPRODUCT(F64:N64,F66:N66)</f>
        <v>0.5333</v>
      </c>
      <c r="F66" s="288">
        <f>ROUND(F67/$D$67,4)</f>
        <v>0.26669999999999999</v>
      </c>
      <c r="G66" s="288">
        <f t="shared" ref="G66:N66" si="12">ROUND(G67/$D$67,4)</f>
        <v>0.1333</v>
      </c>
      <c r="H66" s="288">
        <f t="shared" si="12"/>
        <v>6.6699999999999995E-2</v>
      </c>
      <c r="I66" s="288">
        <f t="shared" si="12"/>
        <v>0</v>
      </c>
      <c r="J66" s="288">
        <f t="shared" si="12"/>
        <v>0</v>
      </c>
      <c r="K66" s="288">
        <f t="shared" si="12"/>
        <v>0</v>
      </c>
      <c r="L66" s="288">
        <f t="shared" si="12"/>
        <v>0</v>
      </c>
      <c r="M66" s="288">
        <f t="shared" si="12"/>
        <v>0</v>
      </c>
      <c r="N66" s="288">
        <f t="shared" si="12"/>
        <v>0</v>
      </c>
      <c r="O66" s="186"/>
    </row>
    <row r="67" spans="2:15">
      <c r="B67" s="184"/>
      <c r="C67" s="185" t="s">
        <v>533</v>
      </c>
      <c r="D67" s="187">
        <f>SUMPRODUCT(E67:N67,E64:N64)</f>
        <v>1.875</v>
      </c>
      <c r="E67" s="296">
        <f>E33</f>
        <v>1</v>
      </c>
      <c r="F67" s="296">
        <f t="shared" ref="F67:N67" si="13">F33</f>
        <v>0.5</v>
      </c>
      <c r="G67" s="296">
        <f t="shared" si="13"/>
        <v>0.25</v>
      </c>
      <c r="H67" s="296">
        <f t="shared" si="13"/>
        <v>0.125</v>
      </c>
      <c r="I67" s="296">
        <f t="shared" si="13"/>
        <v>0</v>
      </c>
      <c r="J67" s="296">
        <f t="shared" si="13"/>
        <v>0</v>
      </c>
      <c r="K67" s="296">
        <f t="shared" si="13"/>
        <v>0</v>
      </c>
      <c r="L67" s="296">
        <f t="shared" si="13"/>
        <v>0</v>
      </c>
      <c r="M67" s="296">
        <f t="shared" si="13"/>
        <v>0</v>
      </c>
      <c r="N67" s="296">
        <f t="shared" si="13"/>
        <v>0</v>
      </c>
      <c r="O67" s="186" t="s">
        <v>145</v>
      </c>
    </row>
    <row r="68" spans="2:15">
      <c r="B68" s="184"/>
      <c r="C68" s="188" t="s">
        <v>359</v>
      </c>
      <c r="D68" s="154" t="s">
        <v>358</v>
      </c>
      <c r="E68" s="157" t="str">
        <f>E34</f>
        <v>D</v>
      </c>
      <c r="F68" s="157" t="str">
        <f t="shared" ref="F68:N68" si="14">F34</f>
        <v>D-1</v>
      </c>
      <c r="G68" s="157" t="str">
        <f t="shared" si="14"/>
        <v>D-2</v>
      </c>
      <c r="H68" s="157" t="str">
        <f t="shared" si="14"/>
        <v>D-3</v>
      </c>
      <c r="I68" s="157">
        <f t="shared" si="14"/>
        <v>0</v>
      </c>
      <c r="J68" s="157">
        <f t="shared" si="14"/>
        <v>0</v>
      </c>
      <c r="K68" s="157">
        <f t="shared" si="14"/>
        <v>0</v>
      </c>
      <c r="L68" s="157">
        <f t="shared" si="14"/>
        <v>0</v>
      </c>
      <c r="M68" s="157">
        <f t="shared" si="14"/>
        <v>0</v>
      </c>
      <c r="N68" s="157">
        <f t="shared" si="14"/>
        <v>0</v>
      </c>
      <c r="O68" s="186" t="s">
        <v>142</v>
      </c>
    </row>
    <row r="69" spans="2:15">
      <c r="B69" s="184"/>
      <c r="C69" s="188" t="s">
        <v>448</v>
      </c>
      <c r="D69" s="154" t="s">
        <v>447</v>
      </c>
      <c r="E69" s="160" t="str">
        <f>E35</f>
        <v>Gastag</v>
      </c>
      <c r="F69" s="160" t="str">
        <f t="shared" ref="F69:N69" si="15">F35</f>
        <v>Gastag</v>
      </c>
      <c r="G69" s="160" t="str">
        <f t="shared" si="15"/>
        <v>Gastag</v>
      </c>
      <c r="H69" s="160" t="str">
        <f t="shared" si="15"/>
        <v>Gastag</v>
      </c>
      <c r="I69" s="163">
        <f t="shared" si="15"/>
        <v>0</v>
      </c>
      <c r="J69" s="163">
        <f t="shared" si="15"/>
        <v>0</v>
      </c>
      <c r="K69" s="163">
        <f t="shared" si="15"/>
        <v>0</v>
      </c>
      <c r="L69" s="163">
        <f t="shared" si="15"/>
        <v>0</v>
      </c>
      <c r="M69" s="163">
        <f t="shared" si="15"/>
        <v>0</v>
      </c>
      <c r="N69" s="163">
        <f t="shared" si="15"/>
        <v>0</v>
      </c>
      <c r="O69" s="186" t="s">
        <v>142</v>
      </c>
    </row>
    <row r="70" spans="2:15">
      <c r="B70" s="184"/>
      <c r="C70" s="188" t="s">
        <v>605</v>
      </c>
      <c r="D70" s="154" t="s">
        <v>606</v>
      </c>
      <c r="E70" s="160" t="str">
        <f>E36</f>
        <v>CET/CEST</v>
      </c>
      <c r="F70" s="160" t="str">
        <f t="shared" ref="F70:N70" si="16">F36</f>
        <v>CET/CEST</v>
      </c>
      <c r="G70" s="160" t="str">
        <f t="shared" si="16"/>
        <v>CET/CEST</v>
      </c>
      <c r="H70" s="160" t="str">
        <f t="shared" si="16"/>
        <v>CET/CEST</v>
      </c>
      <c r="I70" s="163" t="str">
        <f t="shared" si="16"/>
        <v>CET/CEST</v>
      </c>
      <c r="J70" s="163" t="str">
        <f t="shared" si="16"/>
        <v>CET/CEST</v>
      </c>
      <c r="K70" s="163" t="str">
        <f t="shared" si="16"/>
        <v>CET/CEST</v>
      </c>
      <c r="L70" s="163" t="str">
        <f t="shared" si="16"/>
        <v>CET/CEST</v>
      </c>
      <c r="M70" s="163" t="str">
        <f t="shared" si="16"/>
        <v>CET/CEST</v>
      </c>
      <c r="N70" s="163" t="str">
        <f t="shared" si="16"/>
        <v>CET/CEST</v>
      </c>
      <c r="O70" s="186" t="s">
        <v>142</v>
      </c>
    </row>
    <row r="71" spans="2:15">
      <c r="B71" s="184"/>
      <c r="C71" s="193" t="s">
        <v>440</v>
      </c>
      <c r="D71" s="120" t="s">
        <v>538</v>
      </c>
      <c r="E71" s="164" t="s">
        <v>449</v>
      </c>
      <c r="F71" s="164" t="s">
        <v>449</v>
      </c>
      <c r="G71" s="164" t="str">
        <f t="shared" ref="G71:N71" si="17">G37</f>
        <v>Temp.-IST</v>
      </c>
      <c r="H71" s="164" t="str">
        <f t="shared" si="17"/>
        <v>Temp.-IST</v>
      </c>
      <c r="I71" s="164">
        <f t="shared" si="17"/>
        <v>0</v>
      </c>
      <c r="J71" s="164">
        <f t="shared" si="17"/>
        <v>0</v>
      </c>
      <c r="K71" s="164">
        <f t="shared" si="17"/>
        <v>0</v>
      </c>
      <c r="L71" s="164">
        <f t="shared" si="17"/>
        <v>0</v>
      </c>
      <c r="M71" s="164">
        <f t="shared" si="17"/>
        <v>0</v>
      </c>
      <c r="N71" s="164">
        <f t="shared" si="17"/>
        <v>0</v>
      </c>
      <c r="O71" s="186" t="s">
        <v>142</v>
      </c>
    </row>
    <row r="72" spans="2:15"/>
    <row r="73" spans="2:15" ht="15.75" customHeight="1">
      <c r="C73" s="356" t="s">
        <v>580</v>
      </c>
      <c r="D73" s="356"/>
      <c r="E73" s="356"/>
      <c r="F73" s="356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7" priority="28">
      <formula>IF(E$20&lt;=$F$18,1,0)</formula>
    </cfRule>
  </conditionalFormatting>
  <conditionalFormatting sqref="E33:N37">
    <cfRule type="expression" dxfId="46" priority="27">
      <formula>IF(E$31&lt;=$F$29,1,0)</formula>
    </cfRule>
  </conditionalFormatting>
  <conditionalFormatting sqref="E26:N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7:N60">
    <cfRule type="expression" dxfId="43" priority="22">
      <formula>IF(E$55&lt;=$F$53,1,0)</formula>
    </cfRule>
  </conditionalFormatting>
  <conditionalFormatting sqref="E61:N61">
    <cfRule type="expression" dxfId="42" priority="21">
      <formula>IF(E$55&lt;=$F$53,1,0)</formula>
    </cfRule>
  </conditionalFormatting>
  <conditionalFormatting sqref="E67:N69">
    <cfRule type="expression" dxfId="41" priority="15">
      <formula>IF(E$65&lt;=$F$63,1,0)</formula>
    </cfRule>
  </conditionalFormatting>
  <conditionalFormatting sqref="E66:N69 E71:N71">
    <cfRule type="expression" dxfId="40" priority="13">
      <formula>IF(E$65&gt;$F$63,1,0)</formula>
    </cfRule>
  </conditionalFormatting>
  <conditionalFormatting sqref="E57:N61">
    <cfRule type="expression" dxfId="39" priority="12">
      <formula>IF(E$55&gt;$F$53,1,0)</formula>
    </cfRule>
  </conditionalFormatting>
  <conditionalFormatting sqref="E21:N26">
    <cfRule type="expression" dxfId="38" priority="11">
      <formula>IF(E$20&gt;$F$18,1,0)</formula>
    </cfRule>
  </conditionalFormatting>
  <conditionalFormatting sqref="E33:N37">
    <cfRule type="expression" dxfId="37" priority="10">
      <formula>IF(E$31&gt;$F$29,1,0)</formula>
    </cfRule>
  </conditionalFormatting>
  <conditionalFormatting sqref="H11 H8:H9">
    <cfRule type="expression" dxfId="36" priority="9">
      <formula>IF($F$9=1,1,0)</formula>
    </cfRule>
  </conditionalFormatting>
  <conditionalFormatting sqref="E56:N56">
    <cfRule type="expression" dxfId="35" priority="8">
      <formula>IF(E$55&gt;$F$53,1,0)</formula>
    </cfRule>
  </conditionalFormatting>
  <conditionalFormatting sqref="E32:N32">
    <cfRule type="expression" dxfId="34" priority="7">
      <formula>IF(E$31&gt;$F$29,1,0)</formula>
    </cfRule>
  </conditionalFormatting>
  <conditionalFormatting sqref="E71:N71">
    <cfRule type="expression" dxfId="33" priority="6">
      <formula>IF(E$65&lt;=$F$63,1,0)</formula>
    </cfRule>
  </conditionalFormatting>
  <conditionalFormatting sqref="H10">
    <cfRule type="expression" dxfId="32" priority="5">
      <formula>IF($F$9=1,1,0)</formula>
    </cfRule>
  </conditionalFormatting>
  <conditionalFormatting sqref="E70:N70">
    <cfRule type="expression" dxfId="31" priority="2">
      <formula>IF(E$65&lt;=$F$63,1,0)</formula>
    </cfRule>
  </conditionalFormatting>
  <conditionalFormatting sqref="E70:N70">
    <cfRule type="expression" dxfId="30" priority="1">
      <formula>IF(E$65&gt;$F$63,1,0)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F37:N37 F25:N25 E57:N57 E22:F22 I22:N22 F53 G24:N24 G71:N71 E33:N35 E70:N70 E59:N59 F58:N58 F60:N6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544</v>
      </c>
    </row>
    <row r="3" spans="1:56" ht="15" customHeight="1">
      <c r="B3" s="172"/>
    </row>
    <row r="4" spans="1:56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NCHN007008470000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585</v>
      </c>
      <c r="D10" s="131"/>
      <c r="E10" s="131"/>
      <c r="F10" s="300">
        <v>2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603</v>
      </c>
      <c r="D11" s="131"/>
      <c r="E11" s="131"/>
      <c r="F11" s="297">
        <f>INDEX('SLP-Verfahren'!D45:D59,'SLP-Temp-Gebiet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4" t="s">
        <v>584</v>
      </c>
      <c r="D13" s="354"/>
      <c r="E13" s="354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5" t="s">
        <v>445</v>
      </c>
      <c r="D14" s="355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1:56" ht="19.5" customHeight="1">
      <c r="B15" s="131"/>
      <c r="C15" s="355" t="s">
        <v>385</v>
      </c>
      <c r="D15" s="355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 t="s">
        <v>528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517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523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525</v>
      </c>
      <c r="D21" s="154" t="s">
        <v>515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537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520</v>
      </c>
      <c r="D24" s="189"/>
      <c r="E24" s="157" t="s">
        <v>581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514</v>
      </c>
      <c r="D25" s="189"/>
      <c r="E25" s="161" t="s">
        <v>361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503</v>
      </c>
      <c r="F26" s="157" t="s">
        <v>503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503</v>
      </c>
      <c r="S26" s="68" t="s">
        <v>504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519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526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533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359</v>
      </c>
      <c r="D33" s="154" t="s">
        <v>358</v>
      </c>
      <c r="E33" s="157" t="s">
        <v>3</v>
      </c>
      <c r="F33" s="157" t="s">
        <v>357</v>
      </c>
      <c r="G33" s="157" t="s">
        <v>348</v>
      </c>
      <c r="H33" s="157" t="s">
        <v>349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357</v>
      </c>
      <c r="T33" s="68" t="s">
        <v>348</v>
      </c>
      <c r="U33" s="68" t="s">
        <v>349</v>
      </c>
      <c r="V33" s="68" t="s">
        <v>350</v>
      </c>
      <c r="W33" s="68" t="s">
        <v>351</v>
      </c>
      <c r="X33" s="68" t="s">
        <v>352</v>
      </c>
      <c r="Y33" s="68" t="s">
        <v>353</v>
      </c>
      <c r="Z33" s="68" t="s">
        <v>354</v>
      </c>
      <c r="AA33" s="68" t="s">
        <v>355</v>
      </c>
      <c r="AB33" s="68" t="s">
        <v>356</v>
      </c>
    </row>
    <row r="34" spans="2:28">
      <c r="B34" s="184"/>
      <c r="C34" s="188" t="s">
        <v>448</v>
      </c>
      <c r="D34" s="154" t="s">
        <v>447</v>
      </c>
      <c r="E34" s="157" t="s">
        <v>511</v>
      </c>
      <c r="F34" s="157" t="s">
        <v>511</v>
      </c>
      <c r="G34" s="157" t="s">
        <v>511</v>
      </c>
      <c r="H34" s="157" t="s">
        <v>511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511</v>
      </c>
      <c r="S34" s="68" t="s">
        <v>512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605</v>
      </c>
      <c r="D35" s="154" t="s">
        <v>606</v>
      </c>
      <c r="E35" s="157" t="s">
        <v>604</v>
      </c>
      <c r="F35" s="157" t="s">
        <v>604</v>
      </c>
      <c r="G35" s="157" t="s">
        <v>604</v>
      </c>
      <c r="H35" s="157" t="s">
        <v>604</v>
      </c>
      <c r="I35" s="157" t="s">
        <v>604</v>
      </c>
      <c r="J35" s="157" t="s">
        <v>604</v>
      </c>
      <c r="K35" s="157" t="s">
        <v>604</v>
      </c>
      <c r="L35" s="157" t="s">
        <v>604</v>
      </c>
      <c r="M35" s="157" t="s">
        <v>604</v>
      </c>
      <c r="N35" s="157" t="s">
        <v>604</v>
      </c>
      <c r="O35" s="186" t="s">
        <v>142</v>
      </c>
      <c r="Q35" s="212"/>
      <c r="R35" s="68" t="s">
        <v>604</v>
      </c>
      <c r="S35" s="68" t="s">
        <v>607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440</v>
      </c>
      <c r="D36" s="120" t="s">
        <v>538</v>
      </c>
      <c r="E36" s="163" t="s">
        <v>449</v>
      </c>
      <c r="F36" s="163" t="s">
        <v>449</v>
      </c>
      <c r="G36" s="163" t="s">
        <v>450</v>
      </c>
      <c r="H36" s="163" t="s">
        <v>450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450</v>
      </c>
      <c r="S36" s="68" t="s">
        <v>449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267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347</v>
      </c>
      <c r="D39" s="199"/>
      <c r="E39" s="199" t="s">
        <v>531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524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529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530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535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536</v>
      </c>
      <c r="D46" s="202" t="s">
        <v>534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360</v>
      </c>
      <c r="K46" s="199"/>
      <c r="L46" s="199"/>
      <c r="M46" s="199"/>
      <c r="N46" s="199"/>
      <c r="O46" s="200"/>
    </row>
    <row r="47" spans="2:28">
      <c r="B47" s="194"/>
      <c r="C47" s="201" t="s">
        <v>346</v>
      </c>
      <c r="D47" s="202" t="s">
        <v>534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579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543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518</v>
      </c>
      <c r="D54" s="181" t="s">
        <v>513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525</v>
      </c>
      <c r="D55" s="154" t="s">
        <v>515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537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520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521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514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519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526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533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>
      <c r="B67" s="184"/>
      <c r="C67" s="188" t="s">
        <v>359</v>
      </c>
      <c r="D67" s="154" t="s">
        <v>358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>
      <c r="B68" s="184"/>
      <c r="C68" s="188" t="s">
        <v>448</v>
      </c>
      <c r="D68" s="154" t="s">
        <v>447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>
      <c r="B69" s="184"/>
      <c r="C69" s="188" t="s">
        <v>605</v>
      </c>
      <c r="D69" s="154" t="s">
        <v>606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>
      <c r="B70" s="184"/>
      <c r="C70" s="193" t="s">
        <v>440</v>
      </c>
      <c r="D70" s="120" t="s">
        <v>538</v>
      </c>
      <c r="E70" s="164" t="s">
        <v>450</v>
      </c>
      <c r="F70" s="164" t="s">
        <v>450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/>
    <row r="72" spans="2:15" ht="15.75" customHeight="1">
      <c r="C72" s="356" t="s">
        <v>580</v>
      </c>
      <c r="D72" s="356"/>
      <c r="E72" s="356"/>
      <c r="F72" s="356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4" zoomScaleNormal="100" workbookViewId="0">
      <selection activeCell="E14" sqref="E14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362</v>
      </c>
    </row>
    <row r="3" spans="2:26">
      <c r="B3" s="131" t="s">
        <v>463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367</v>
      </c>
      <c r="D5" s="54" t="str">
        <f>Netzbetreiber!$D$9</f>
        <v>Stadtwerke Kleve GmbH</v>
      </c>
      <c r="E5" s="131"/>
      <c r="H5" s="89" t="s">
        <v>495</v>
      </c>
      <c r="I5" s="132" t="s">
        <v>498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334</v>
      </c>
      <c r="D6" s="54" t="str">
        <f>Netzbetreiber!$D$28</f>
        <v>NCHN007008470000</v>
      </c>
      <c r="E6" s="131"/>
      <c r="F6" s="131"/>
      <c r="I6" s="132" t="s">
        <v>508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485</v>
      </c>
      <c r="D7" s="54" t="str">
        <f>Netzbetreiber!$D$11</f>
        <v>9870084700004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44378</v>
      </c>
      <c r="E8" s="131"/>
      <c r="F8" s="131"/>
      <c r="H8" s="129" t="s">
        <v>493</v>
      </c>
      <c r="J8" s="133">
        <f>COUNTA(D12:D100)</f>
        <v>4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492</v>
      </c>
      <c r="D10" s="135" t="s">
        <v>147</v>
      </c>
      <c r="E10" s="278" t="s">
        <v>510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635</v>
      </c>
      <c r="M10" s="151" t="s">
        <v>644</v>
      </c>
      <c r="N10" s="152" t="s">
        <v>645</v>
      </c>
      <c r="O10" s="152" t="s">
        <v>646</v>
      </c>
      <c r="P10" s="153" t="s">
        <v>647</v>
      </c>
      <c r="Q10" s="147" t="s">
        <v>636</v>
      </c>
      <c r="R10" s="137" t="s">
        <v>637</v>
      </c>
      <c r="S10" s="138" t="s">
        <v>638</v>
      </c>
      <c r="T10" s="138" t="s">
        <v>639</v>
      </c>
      <c r="U10" s="138" t="s">
        <v>640</v>
      </c>
      <c r="V10" s="138" t="s">
        <v>641</v>
      </c>
      <c r="W10" s="138" t="s">
        <v>642</v>
      </c>
      <c r="X10" s="139" t="s">
        <v>643</v>
      </c>
      <c r="Y10" s="306" t="s">
        <v>648</v>
      </c>
    </row>
    <row r="11" spans="2:26" ht="15.75" thickBot="1">
      <c r="B11" s="140" t="s">
        <v>494</v>
      </c>
      <c r="C11" s="141" t="s">
        <v>509</v>
      </c>
      <c r="D11" s="305" t="s">
        <v>248</v>
      </c>
      <c r="E11" s="165" t="s">
        <v>516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41" si="0">$D$6</f>
        <v>NCHN007008470000</v>
      </c>
      <c r="D12" s="63" t="s">
        <v>248</v>
      </c>
      <c r="E12" s="166" t="s">
        <v>667</v>
      </c>
      <c r="F12" s="308" t="str">
        <f>VLOOKUP($E12,'BDEW-Standard'!$B$3:$M$94,F$9,0)</f>
        <v>D14</v>
      </c>
      <c r="H12" s="279">
        <f>ROUND(VLOOKUP($E12,'BDEW-Standard'!$B$3:$M$94,H$9,0),7)</f>
        <v>3.1850190999999999</v>
      </c>
      <c r="I12" s="279">
        <f>ROUND(VLOOKUP($E12,'BDEW-Standard'!$B$3:$M$94,I$9,0),7)</f>
        <v>-37.412415500000002</v>
      </c>
      <c r="J12" s="279">
        <f>ROUND(VLOOKUP($E12,'BDEW-Standard'!$B$3:$M$94,J$9,0),7)</f>
        <v>6.1723179000000004</v>
      </c>
      <c r="K12" s="279">
        <f>ROUND(VLOOKUP($E12,'BDEW-Standard'!$B$3:$M$94,K$9,0),7)</f>
        <v>7.6109599999999999E-2</v>
      </c>
      <c r="L12" s="280">
        <f>ROUND(VLOOKUP($E12,'BDEW-Standard'!$B$3:$M$94,L$9,0),1)</f>
        <v>40</v>
      </c>
      <c r="M12" s="279">
        <f>ROUND(VLOOKUP($E12,'BDEW-Standard'!$B$3:$M$94,M$9,0),7)</f>
        <v>0</v>
      </c>
      <c r="N12" s="279">
        <f>ROUND(VLOOKUP($E12,'BDEW-Standard'!$B$3:$M$94,N$9,0),7)</f>
        <v>0</v>
      </c>
      <c r="O12" s="279">
        <f>ROUND(VLOOKUP($E12,'BDEW-Standard'!$B$3:$M$94,O$9,0),7)</f>
        <v>0</v>
      </c>
      <c r="P12" s="279">
        <f>ROUND(VLOOKUP($E12,'BDEW-Standard'!$B$3:$M$94,P$9,0),7)</f>
        <v>0</v>
      </c>
      <c r="Q12" s="281">
        <f t="shared" ref="Q12:Q15" si="1">($H12/(1+($I12/($Q$9-$L12))^$J12)+$K12)+MAX($M12*$Q$9+$N12,$O12*$Q$9+$P12)</f>
        <v>0.95508749343949439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NCHN007008470000</v>
      </c>
      <c r="D13" s="63" t="s">
        <v>248</v>
      </c>
      <c r="E13" s="166" t="s">
        <v>668</v>
      </c>
      <c r="F13" s="308" t="str">
        <f>VLOOKUP($E13,'BDEW-Standard'!$B$3:$M$94,F$9,0)</f>
        <v>D24</v>
      </c>
      <c r="H13" s="279">
        <f>ROUND(VLOOKUP($E13,'BDEW-Standard'!$B$3:$M$94,H$9,0),7)</f>
        <v>2.5187775000000001</v>
      </c>
      <c r="I13" s="279">
        <f>ROUND(VLOOKUP($E13,'BDEW-Standard'!$B$3:$M$94,I$9,0),7)</f>
        <v>-35.033375399999997</v>
      </c>
      <c r="J13" s="279">
        <f>ROUND(VLOOKUP($E13,'BDEW-Standard'!$B$3:$M$94,J$9,0),7)</f>
        <v>6.2240634000000004</v>
      </c>
      <c r="K13" s="279">
        <f>ROUND(VLOOKUP($E13,'BDEW-Standard'!$B$3:$M$94,K$9,0),7)</f>
        <v>0.10107820000000001</v>
      </c>
      <c r="L13" s="280">
        <f>ROUND(VLOOKUP($E13,'BDEW-Standard'!$B$3:$M$94,L$9,0),1)</f>
        <v>40</v>
      </c>
      <c r="M13" s="279">
        <f>ROUND(VLOOKUP($E13,'BDEW-Standard'!$B$3:$M$94,M$9,0),7)</f>
        <v>0</v>
      </c>
      <c r="N13" s="279">
        <f>ROUND(VLOOKUP($E13,'BDEW-Standard'!$B$3:$M$94,N$9,0),7)</f>
        <v>0</v>
      </c>
      <c r="O13" s="279">
        <f>ROUND(VLOOKUP($E13,'BDEW-Standard'!$B$3:$M$94,O$9,0),7)</f>
        <v>0</v>
      </c>
      <c r="P13" s="279">
        <f>ROUND(VLOOKUP($E13,'BDEW-Standard'!$B$3:$M$94,P$9,0),7)</f>
        <v>0</v>
      </c>
      <c r="Q13" s="281">
        <f t="shared" si="1"/>
        <v>1.0146273685996503</v>
      </c>
      <c r="R13" s="282">
        <f>ROUND(VLOOKUP(MID($E13,4,3),'Wochentag F(WT)'!$B$7:$J$22,R$9,0),4)</f>
        <v>1</v>
      </c>
      <c r="S13" s="282">
        <f>ROUND(VLOOKUP(MID($E13,4,3),'Wochentag F(WT)'!$B$7:$J$22,S$9,0),4)</f>
        <v>1</v>
      </c>
      <c r="T13" s="282">
        <f>ROUND(VLOOKUP(MID($E13,4,3),'Wochentag F(WT)'!$B$7:$J$22,T$9,0),4)</f>
        <v>1</v>
      </c>
      <c r="U13" s="282">
        <f>ROUND(VLOOKUP(MID($E13,4,3),'Wochentag F(WT)'!$B$7:$J$22,U$9,0),4)</f>
        <v>1</v>
      </c>
      <c r="V13" s="282">
        <f>ROUND(VLOOKUP(MID($E13,4,3),'Wochentag F(WT)'!$B$7:$J$22,V$9,0),4)</f>
        <v>1</v>
      </c>
      <c r="W13" s="282">
        <f>ROUND(VLOOKUP(MID($E13,4,3),'Wochentag F(WT)'!$B$7:$J$22,W$9,0),4)</f>
        <v>1</v>
      </c>
      <c r="X13" s="283">
        <f t="shared" ref="X13:X15" si="2">7-SUM(R13:W13)</f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NCHN007008470000</v>
      </c>
      <c r="D14" s="63" t="s">
        <v>248</v>
      </c>
      <c r="E14" s="166" t="s">
        <v>669</v>
      </c>
      <c r="F14" s="308" t="str">
        <f>VLOOKUP($E14,'BDEW-Standard'!$B$3:$M$94,F$9,0)</f>
        <v>HD4</v>
      </c>
      <c r="H14" s="279">
        <f>ROUND(VLOOKUP($E14,'BDEW-Standard'!$B$3:$M$94,H$9,0),7)</f>
        <v>3.0084346000000002</v>
      </c>
      <c r="I14" s="279">
        <f>ROUND(VLOOKUP($E14,'BDEW-Standard'!$B$3:$M$94,I$9,0),7)</f>
        <v>-36.607845300000001</v>
      </c>
      <c r="J14" s="279">
        <f>ROUND(VLOOKUP($E14,'BDEW-Standard'!$B$3:$M$94,J$9,0),7)</f>
        <v>7.3211870000000001</v>
      </c>
      <c r="K14" s="279">
        <f>ROUND(VLOOKUP($E14,'BDEW-Standard'!$B$3:$M$94,K$9,0),7)</f>
        <v>0.15496599999999999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si="1"/>
        <v>0.97302438504000599</v>
      </c>
      <c r="R14" s="282">
        <f>ROUND(VLOOKUP(MID($E14,4,3),'Wochentag F(WT)'!$B$7:$J$22,R$9,0),4)</f>
        <v>1.03</v>
      </c>
      <c r="S14" s="282">
        <f>ROUND(VLOOKUP(MID($E14,4,3),'Wochentag F(WT)'!$B$7:$J$22,S$9,0),4)</f>
        <v>1.03</v>
      </c>
      <c r="T14" s="282">
        <f>ROUND(VLOOKUP(MID($E14,4,3),'Wochentag F(WT)'!$B$7:$J$22,T$9,0),4)</f>
        <v>1.02</v>
      </c>
      <c r="U14" s="282">
        <f>ROUND(VLOOKUP(MID($E14,4,3),'Wochentag F(WT)'!$B$7:$J$22,U$9,0),4)</f>
        <v>1.03</v>
      </c>
      <c r="V14" s="282">
        <f>ROUND(VLOOKUP(MID($E14,4,3),'Wochentag F(WT)'!$B$7:$J$22,V$9,0),4)</f>
        <v>1.01</v>
      </c>
      <c r="W14" s="282">
        <f>ROUND(VLOOKUP(MID($E14,4,3),'Wochentag F(WT)'!$B$7:$J$22,W$9,0),4)</f>
        <v>0.93</v>
      </c>
      <c r="X14" s="283">
        <f t="shared" si="2"/>
        <v>0.95000000000000018</v>
      </c>
      <c r="Y14" s="304"/>
      <c r="Z14" s="213"/>
    </row>
    <row r="15" spans="2:26" s="144" customFormat="1">
      <c r="B15" s="145">
        <v>4</v>
      </c>
      <c r="C15" s="146" t="str">
        <f t="shared" si="0"/>
        <v>NCHN007008470000</v>
      </c>
      <c r="D15" s="63" t="s">
        <v>248</v>
      </c>
      <c r="E15" s="166" t="s">
        <v>4</v>
      </c>
      <c r="F15" s="308" t="str">
        <f>VLOOKUP($E15,'BDEW-Standard'!$B$3:$M$94,F$9,0)</f>
        <v>HK3</v>
      </c>
      <c r="H15" s="279">
        <f>ROUND(VLOOKUP($E15,'BDEW-Standard'!$B$3:$M$94,H$9,0),7)</f>
        <v>0.40409319999999999</v>
      </c>
      <c r="I15" s="279">
        <f>ROUND(VLOOKUP($E15,'BDEW-Standard'!$B$3:$M$94,I$9,0),7)</f>
        <v>-24.439296800000001</v>
      </c>
      <c r="J15" s="279">
        <f>ROUND(VLOOKUP($E15,'BDEW-Standard'!$B$3:$M$94,J$9,0),7)</f>
        <v>6.5718174999999999</v>
      </c>
      <c r="K15" s="279">
        <f>ROUND(VLOOKUP($E15,'BDEW-Standard'!$B$3:$M$94,K$9,0),7)</f>
        <v>0.71077100000000004</v>
      </c>
      <c r="L15" s="280">
        <f>ROUND(VLOOKUP($E15,'BDEW-Standard'!$B$3:$M$94,L$9,0),1)</f>
        <v>40</v>
      </c>
      <c r="M15" s="279">
        <f>ROUND(VLOOKUP($E15,'BDEW-Standard'!$B$3:$M$94,M$9,0),7)</f>
        <v>0</v>
      </c>
      <c r="N15" s="279">
        <f>ROUND(VLOOKUP($E15,'BDEW-Standard'!$B$3:$M$94,N$9,0),7)</f>
        <v>0</v>
      </c>
      <c r="O15" s="279">
        <f>ROUND(VLOOKUP($E15,'BDEW-Standard'!$B$3:$M$94,O$9,0),7)</f>
        <v>0</v>
      </c>
      <c r="P15" s="279">
        <f>ROUND(VLOOKUP($E15,'BDEW-Standard'!$B$3:$M$94,P$9,0),7)</f>
        <v>0</v>
      </c>
      <c r="Q15" s="281">
        <f t="shared" si="1"/>
        <v>1.0561214000512988</v>
      </c>
      <c r="R15" s="282">
        <f>ROUND(VLOOKUP(MID($E15,4,3),'Wochentag F(WT)'!$B$7:$J$22,R$9,0),4)</f>
        <v>1</v>
      </c>
      <c r="S15" s="282">
        <f>ROUND(VLOOKUP(MID($E15,4,3),'Wochentag F(WT)'!$B$7:$J$22,S$9,0),4)</f>
        <v>1</v>
      </c>
      <c r="T15" s="282">
        <f>ROUND(VLOOKUP(MID($E15,4,3),'Wochentag F(WT)'!$B$7:$J$22,T$9,0),4)</f>
        <v>1</v>
      </c>
      <c r="U15" s="282">
        <f>ROUND(VLOOKUP(MID($E15,4,3),'Wochentag F(WT)'!$B$7:$J$22,U$9,0),4)</f>
        <v>1</v>
      </c>
      <c r="V15" s="282">
        <f>ROUND(VLOOKUP(MID($E15,4,3),'Wochentag F(WT)'!$B$7:$J$22,V$9,0),4)</f>
        <v>1</v>
      </c>
      <c r="W15" s="282">
        <f>ROUND(VLOOKUP(MID($E15,4,3),'Wochentag F(WT)'!$B$7:$J$22,W$9,0),4)</f>
        <v>1</v>
      </c>
      <c r="X15" s="283">
        <f t="shared" si="2"/>
        <v>1</v>
      </c>
      <c r="Y15" s="304"/>
      <c r="Z15" s="213"/>
    </row>
    <row r="16" spans="2:26" s="144" customFormat="1">
      <c r="B16" s="145">
        <v>5</v>
      </c>
      <c r="C16" s="146" t="str">
        <f t="shared" si="0"/>
        <v>NCHN007008470000</v>
      </c>
      <c r="D16" s="63"/>
      <c r="E16" s="166"/>
      <c r="F16" s="308"/>
      <c r="H16" s="279"/>
      <c r="I16" s="279"/>
      <c r="J16" s="279"/>
      <c r="K16" s="279"/>
      <c r="L16" s="280"/>
      <c r="M16" s="279"/>
      <c r="N16" s="279"/>
      <c r="O16" s="279"/>
      <c r="P16" s="279"/>
      <c r="Q16" s="281"/>
      <c r="R16" s="282"/>
      <c r="S16" s="282"/>
      <c r="T16" s="282"/>
      <c r="U16" s="282"/>
      <c r="V16" s="282"/>
      <c r="W16" s="282"/>
      <c r="X16" s="283"/>
      <c r="Y16" s="304"/>
      <c r="Z16" s="213"/>
    </row>
    <row r="17" spans="2:26" s="144" customFormat="1">
      <c r="B17" s="145">
        <v>6</v>
      </c>
      <c r="C17" s="146" t="str">
        <f t="shared" si="0"/>
        <v>NCHN007008470000</v>
      </c>
      <c r="D17" s="63"/>
      <c r="E17" s="166"/>
      <c r="F17" s="308"/>
      <c r="H17" s="279"/>
      <c r="I17" s="279"/>
      <c r="J17" s="279"/>
      <c r="K17" s="279"/>
      <c r="L17" s="280"/>
      <c r="M17" s="279"/>
      <c r="N17" s="279"/>
      <c r="O17" s="279"/>
      <c r="P17" s="279"/>
      <c r="Q17" s="281"/>
      <c r="R17" s="282"/>
      <c r="S17" s="282"/>
      <c r="T17" s="282"/>
      <c r="U17" s="282"/>
      <c r="V17" s="282"/>
      <c r="W17" s="282"/>
      <c r="X17" s="283"/>
      <c r="Y17" s="304"/>
      <c r="Z17" s="213"/>
    </row>
    <row r="18" spans="2:26" s="144" customFormat="1">
      <c r="B18" s="145">
        <v>7</v>
      </c>
      <c r="C18" s="146" t="str">
        <f t="shared" si="0"/>
        <v>NCHN007008470000</v>
      </c>
      <c r="D18" s="63"/>
      <c r="E18" s="166"/>
      <c r="F18" s="308"/>
      <c r="H18" s="279"/>
      <c r="I18" s="279"/>
      <c r="J18" s="279"/>
      <c r="K18" s="279"/>
      <c r="L18" s="280"/>
      <c r="M18" s="279"/>
      <c r="N18" s="279"/>
      <c r="O18" s="279"/>
      <c r="P18" s="279"/>
      <c r="Q18" s="281"/>
      <c r="R18" s="282"/>
      <c r="S18" s="282"/>
      <c r="T18" s="282"/>
      <c r="U18" s="282"/>
      <c r="V18" s="282"/>
      <c r="W18" s="282"/>
      <c r="X18" s="283"/>
      <c r="Y18" s="304"/>
      <c r="Z18" s="213"/>
    </row>
    <row r="19" spans="2:26" s="144" customFormat="1">
      <c r="B19" s="145">
        <v>8</v>
      </c>
      <c r="C19" s="146" t="str">
        <f t="shared" si="0"/>
        <v>NCHN007008470000</v>
      </c>
      <c r="D19" s="63"/>
      <c r="E19" s="166"/>
      <c r="F19" s="308"/>
      <c r="H19" s="279"/>
      <c r="I19" s="279"/>
      <c r="J19" s="279"/>
      <c r="K19" s="279"/>
      <c r="L19" s="280"/>
      <c r="M19" s="279"/>
      <c r="N19" s="279"/>
      <c r="O19" s="279"/>
      <c r="P19" s="279"/>
      <c r="Q19" s="281"/>
      <c r="R19" s="282"/>
      <c r="S19" s="282"/>
      <c r="T19" s="282"/>
      <c r="U19" s="282"/>
      <c r="V19" s="282"/>
      <c r="W19" s="282"/>
      <c r="X19" s="283"/>
      <c r="Y19" s="304"/>
      <c r="Z19" s="213"/>
    </row>
    <row r="20" spans="2:26" s="144" customFormat="1">
      <c r="B20" s="145">
        <v>9</v>
      </c>
      <c r="C20" s="146" t="str">
        <f t="shared" si="0"/>
        <v>NCHN007008470000</v>
      </c>
      <c r="D20" s="63"/>
      <c r="E20" s="166"/>
      <c r="F20" s="308"/>
      <c r="H20" s="279"/>
      <c r="I20" s="279"/>
      <c r="J20" s="279"/>
      <c r="K20" s="279"/>
      <c r="L20" s="280"/>
      <c r="M20" s="279"/>
      <c r="N20" s="279"/>
      <c r="O20" s="279"/>
      <c r="P20" s="279"/>
      <c r="Q20" s="281"/>
      <c r="R20" s="282"/>
      <c r="S20" s="282"/>
      <c r="T20" s="282"/>
      <c r="U20" s="282"/>
      <c r="V20" s="282"/>
      <c r="W20" s="282"/>
      <c r="X20" s="283"/>
      <c r="Y20" s="304"/>
      <c r="Z20" s="213"/>
    </row>
    <row r="21" spans="2:26" s="144" customFormat="1">
      <c r="B21" s="145">
        <v>10</v>
      </c>
      <c r="C21" s="146" t="str">
        <f t="shared" si="0"/>
        <v>NCHN007008470000</v>
      </c>
      <c r="D21" s="63"/>
      <c r="E21" s="166"/>
      <c r="F21" s="308"/>
      <c r="H21" s="279"/>
      <c r="I21" s="279"/>
      <c r="J21" s="279"/>
      <c r="K21" s="279"/>
      <c r="L21" s="280"/>
      <c r="M21" s="279"/>
      <c r="N21" s="279"/>
      <c r="O21" s="279"/>
      <c r="P21" s="279"/>
      <c r="Q21" s="281"/>
      <c r="R21" s="282"/>
      <c r="S21" s="282"/>
      <c r="T21" s="282"/>
      <c r="U21" s="282"/>
      <c r="V21" s="282"/>
      <c r="W21" s="282"/>
      <c r="X21" s="283"/>
      <c r="Y21" s="304"/>
      <c r="Z21" s="213"/>
    </row>
    <row r="22" spans="2:26" s="144" customFormat="1">
      <c r="B22" s="145">
        <v>11</v>
      </c>
      <c r="C22" s="146" t="str">
        <f t="shared" si="0"/>
        <v>NCHN007008470000</v>
      </c>
      <c r="D22" s="63"/>
      <c r="E22" s="166"/>
      <c r="F22" s="308"/>
      <c r="H22" s="279"/>
      <c r="I22" s="279"/>
      <c r="J22" s="279"/>
      <c r="K22" s="279"/>
      <c r="L22" s="280"/>
      <c r="M22" s="279"/>
      <c r="N22" s="279"/>
      <c r="O22" s="279"/>
      <c r="P22" s="279"/>
      <c r="Q22" s="281"/>
      <c r="R22" s="282"/>
      <c r="S22" s="282"/>
      <c r="T22" s="282"/>
      <c r="U22" s="282"/>
      <c r="V22" s="282"/>
      <c r="W22" s="282"/>
      <c r="X22" s="283"/>
      <c r="Y22" s="304"/>
      <c r="Z22" s="213"/>
    </row>
    <row r="23" spans="2:26" s="144" customFormat="1">
      <c r="B23" s="145">
        <v>12</v>
      </c>
      <c r="C23" s="146" t="str">
        <f t="shared" si="0"/>
        <v>NCHN007008470000</v>
      </c>
      <c r="D23" s="63"/>
      <c r="E23" s="166"/>
      <c r="F23" s="308"/>
      <c r="H23" s="279"/>
      <c r="I23" s="279"/>
      <c r="J23" s="279"/>
      <c r="K23" s="279"/>
      <c r="L23" s="280"/>
      <c r="M23" s="279"/>
      <c r="N23" s="279"/>
      <c r="O23" s="279"/>
      <c r="P23" s="279"/>
      <c r="Q23" s="281"/>
      <c r="R23" s="282"/>
      <c r="S23" s="282"/>
      <c r="T23" s="282"/>
      <c r="U23" s="282"/>
      <c r="V23" s="282"/>
      <c r="W23" s="282"/>
      <c r="X23" s="283"/>
      <c r="Y23" s="304"/>
      <c r="Z23" s="213"/>
    </row>
    <row r="24" spans="2:26" s="144" customFormat="1">
      <c r="B24" s="145">
        <v>13</v>
      </c>
      <c r="C24" s="146" t="str">
        <f t="shared" si="0"/>
        <v>NCHN007008470000</v>
      </c>
      <c r="D24" s="63"/>
      <c r="E24" s="166"/>
      <c r="F24" s="308"/>
      <c r="H24" s="279"/>
      <c r="I24" s="279"/>
      <c r="J24" s="279"/>
      <c r="K24" s="279"/>
      <c r="L24" s="280"/>
      <c r="M24" s="279"/>
      <c r="N24" s="279"/>
      <c r="O24" s="279"/>
      <c r="P24" s="279"/>
      <c r="Q24" s="281"/>
      <c r="R24" s="282"/>
      <c r="S24" s="282"/>
      <c r="T24" s="282"/>
      <c r="U24" s="282"/>
      <c r="V24" s="282"/>
      <c r="W24" s="282"/>
      <c r="X24" s="283"/>
      <c r="Y24" s="304"/>
      <c r="Z24" s="213"/>
    </row>
    <row r="25" spans="2:26" s="144" customFormat="1">
      <c r="B25" s="145">
        <v>14</v>
      </c>
      <c r="C25" s="146" t="str">
        <f t="shared" si="0"/>
        <v>NCHN007008470000</v>
      </c>
      <c r="D25" s="63"/>
      <c r="E25" s="166"/>
      <c r="F25" s="308"/>
      <c r="H25" s="279"/>
      <c r="I25" s="279"/>
      <c r="J25" s="279"/>
      <c r="K25" s="279"/>
      <c r="L25" s="280"/>
      <c r="M25" s="279"/>
      <c r="N25" s="279"/>
      <c r="O25" s="279"/>
      <c r="P25" s="279"/>
      <c r="Q25" s="281"/>
      <c r="R25" s="282"/>
      <c r="S25" s="282"/>
      <c r="T25" s="282"/>
      <c r="U25" s="282"/>
      <c r="V25" s="282"/>
      <c r="W25" s="282"/>
      <c r="X25" s="283"/>
      <c r="Y25" s="304"/>
      <c r="Z25" s="213"/>
    </row>
    <row r="26" spans="2:26" s="144" customFormat="1">
      <c r="B26" s="145">
        <v>15</v>
      </c>
      <c r="C26" s="146" t="str">
        <f t="shared" si="0"/>
        <v>NCHN007008470000</v>
      </c>
      <c r="D26" s="63"/>
      <c r="E26" s="166"/>
      <c r="F26" s="308"/>
      <c r="H26" s="279"/>
      <c r="I26" s="279"/>
      <c r="J26" s="279"/>
      <c r="K26" s="279"/>
      <c r="L26" s="280"/>
      <c r="M26" s="279"/>
      <c r="N26" s="279"/>
      <c r="O26" s="279"/>
      <c r="P26" s="279"/>
      <c r="Q26" s="281"/>
      <c r="R26" s="282"/>
      <c r="S26" s="282"/>
      <c r="T26" s="282"/>
      <c r="U26" s="282"/>
      <c r="V26" s="282"/>
      <c r="W26" s="282"/>
      <c r="X26" s="283"/>
      <c r="Y26" s="304"/>
      <c r="Z26" s="213"/>
    </row>
    <row r="27" spans="2:26" s="144" customFormat="1">
      <c r="B27" s="145">
        <v>16</v>
      </c>
      <c r="C27" s="146" t="str">
        <f t="shared" si="0"/>
        <v>NCHN007008470000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NCHN007008470000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NCHN007008470000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NCHN007008470000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NCHN007008470000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NCHN007008470000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NCHN007008470000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NCHN007008470000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NCHN007008470000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NCHN007008470000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NCHN007008470000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NCHN007008470000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NCHN007008470000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NCHN007008470000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NCHN007008470000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1" priority="10">
      <formula>ISERROR(F11)</formula>
    </cfRule>
  </conditionalFormatting>
  <conditionalFormatting sqref="E16:F41 Y12:Y41 F12:F15">
    <cfRule type="duplicateValues" dxfId="10" priority="32"/>
  </conditionalFormatting>
  <conditionalFormatting sqref="E12:E15">
    <cfRule type="duplicateValues" dxfId="9" priority="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3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2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E16:E41</xm:sqref>
        </x14:dataValidation>
        <x14:dataValidation type="list" allowBlank="1" showInputMessage="1" showErrorMessage="1">
          <x14:formula1>
            <xm:f>'BDEW-Standard'!$B$3:$B$94</xm:f>
          </x14:formula1>
          <xm:sqref>E16:E26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344</v>
      </c>
      <c r="B1" s="217">
        <v>42173</v>
      </c>
      <c r="D1" s="132" t="s">
        <v>451</v>
      </c>
      <c r="F1" s="218" t="s">
        <v>545</v>
      </c>
      <c r="N1" s="219"/>
    </row>
    <row r="2" spans="1:14" ht="25.5">
      <c r="A2" s="220" t="s">
        <v>268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314</v>
      </c>
      <c r="D95" s="236" t="s">
        <v>269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319</v>
      </c>
      <c r="D96" s="236" t="s">
        <v>269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324</v>
      </c>
      <c r="D97" s="236" t="s">
        <v>269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329</v>
      </c>
      <c r="D98" s="236" t="s">
        <v>269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282</v>
      </c>
      <c r="D99" s="236" t="s">
        <v>269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286</v>
      </c>
      <c r="D100" s="236" t="s">
        <v>269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290</v>
      </c>
      <c r="D101" s="236" t="s">
        <v>269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294</v>
      </c>
      <c r="D102" s="236" t="s">
        <v>269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298</v>
      </c>
      <c r="D103" s="236" t="s">
        <v>269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302</v>
      </c>
      <c r="D104" s="236" t="s">
        <v>269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306</v>
      </c>
      <c r="D105" s="236" t="s">
        <v>269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310</v>
      </c>
      <c r="D106" s="236" t="s">
        <v>269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315</v>
      </c>
      <c r="D107" s="236" t="s">
        <v>269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320</v>
      </c>
      <c r="D108" s="236" t="s">
        <v>269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325</v>
      </c>
      <c r="D109" s="236" t="s">
        <v>269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330</v>
      </c>
      <c r="D110" s="236" t="s">
        <v>269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270</v>
      </c>
      <c r="D111" s="236" t="s">
        <v>269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271</v>
      </c>
      <c r="D112" s="236" t="s">
        <v>269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272</v>
      </c>
      <c r="D113" s="236" t="s">
        <v>269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273</v>
      </c>
      <c r="D114" s="236" t="s">
        <v>269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283</v>
      </c>
      <c r="D115" s="236" t="s">
        <v>269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287</v>
      </c>
      <c r="D116" s="236" t="s">
        <v>269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291</v>
      </c>
      <c r="D117" s="236" t="s">
        <v>269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295</v>
      </c>
      <c r="D118" s="236" t="s">
        <v>269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274</v>
      </c>
      <c r="D119" s="236" t="s">
        <v>269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276</v>
      </c>
      <c r="D120" s="236" t="s">
        <v>269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278</v>
      </c>
      <c r="D121" s="236" t="s">
        <v>269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280</v>
      </c>
      <c r="D122" s="236" t="s">
        <v>269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316</v>
      </c>
      <c r="D123" s="236" t="s">
        <v>269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321</v>
      </c>
      <c r="D124" s="236" t="s">
        <v>269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326</v>
      </c>
      <c r="D125" s="236" t="s">
        <v>269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331</v>
      </c>
      <c r="D126" s="236" t="s">
        <v>269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284</v>
      </c>
      <c r="D127" s="236" t="s">
        <v>269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288</v>
      </c>
      <c r="D128" s="236" t="s">
        <v>269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292</v>
      </c>
      <c r="D129" s="236" t="s">
        <v>269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296</v>
      </c>
      <c r="D130" s="236" t="s">
        <v>269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285</v>
      </c>
      <c r="D131" s="236" t="s">
        <v>269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289</v>
      </c>
      <c r="D132" s="236" t="s">
        <v>269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293</v>
      </c>
      <c r="D133" s="236" t="s">
        <v>269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297</v>
      </c>
      <c r="D134" s="236" t="s">
        <v>269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299</v>
      </c>
      <c r="D135" s="236" t="s">
        <v>269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303</v>
      </c>
      <c r="D136" s="236" t="s">
        <v>269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307</v>
      </c>
      <c r="D137" s="236" t="s">
        <v>269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311</v>
      </c>
      <c r="D138" s="236" t="s">
        <v>269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300</v>
      </c>
      <c r="D139" s="236" t="s">
        <v>269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304</v>
      </c>
      <c r="D140" s="236" t="s">
        <v>269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308</v>
      </c>
      <c r="D141" s="236" t="s">
        <v>269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312</v>
      </c>
      <c r="D142" s="236" t="s">
        <v>269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275</v>
      </c>
      <c r="D143" s="236" t="s">
        <v>269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277</v>
      </c>
      <c r="D144" s="236" t="s">
        <v>269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279</v>
      </c>
      <c r="D145" s="236" t="s">
        <v>269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281</v>
      </c>
      <c r="D146" s="236" t="s">
        <v>269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301</v>
      </c>
      <c r="D147" s="236" t="s">
        <v>269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305</v>
      </c>
      <c r="D148" s="236" t="s">
        <v>269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309</v>
      </c>
      <c r="D149" s="236" t="s">
        <v>269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313</v>
      </c>
      <c r="D150" s="236" t="s">
        <v>269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317</v>
      </c>
      <c r="D151" s="236" t="s">
        <v>269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322</v>
      </c>
      <c r="D152" s="236" t="s">
        <v>269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327</v>
      </c>
      <c r="D153" s="236" t="s">
        <v>269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332</v>
      </c>
      <c r="D154" s="236" t="s">
        <v>269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318</v>
      </c>
      <c r="D155" s="236" t="s">
        <v>269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323</v>
      </c>
      <c r="D156" s="236" t="s">
        <v>269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328</v>
      </c>
      <c r="D157" s="236" t="s">
        <v>269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333</v>
      </c>
      <c r="D158" s="236" t="s">
        <v>269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443</v>
      </c>
    </row>
    <row r="3" spans="2:30" ht="15" customHeight="1">
      <c r="B3" s="85"/>
    </row>
    <row r="4" spans="2:30" ht="15" customHeight="1">
      <c r="B4" s="86" t="s">
        <v>442</v>
      </c>
      <c r="C4" s="64" t="str">
        <f>Netzbetreiber!$D$9</f>
        <v>Stadtwerke Kleve GmbH</v>
      </c>
      <c r="D4" s="77"/>
      <c r="G4" s="77"/>
      <c r="I4" s="77"/>
      <c r="J4" s="78"/>
      <c r="M4" s="87" t="s">
        <v>539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441</v>
      </c>
      <c r="C5" s="65" t="str">
        <f>Netzbetreiber!D28</f>
        <v>NCHN007008470000</v>
      </c>
      <c r="D5" s="37"/>
      <c r="E5" s="77"/>
      <c r="F5" s="77"/>
      <c r="G5" s="77"/>
      <c r="I5" s="77"/>
      <c r="J5" s="77"/>
      <c r="K5" s="77"/>
      <c r="L5" s="77"/>
      <c r="M5" s="89" t="s">
        <v>507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439</v>
      </c>
      <c r="C6" s="64" t="str">
        <f>Netzbetreiber!$D$11</f>
        <v>9870084700004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44378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7" t="s">
        <v>455</v>
      </c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9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464</v>
      </c>
      <c r="N9" s="92" t="s">
        <v>369</v>
      </c>
      <c r="O9" s="93" t="s">
        <v>370</v>
      </c>
      <c r="P9" s="93" t="s">
        <v>371</v>
      </c>
      <c r="Q9" s="93" t="s">
        <v>372</v>
      </c>
      <c r="R9" s="93" t="s">
        <v>373</v>
      </c>
      <c r="S9" s="93" t="s">
        <v>374</v>
      </c>
      <c r="T9" s="93" t="s">
        <v>375</v>
      </c>
      <c r="U9" s="93" t="s">
        <v>376</v>
      </c>
      <c r="V9" s="93" t="s">
        <v>377</v>
      </c>
      <c r="W9" s="93" t="s">
        <v>378</v>
      </c>
      <c r="X9" s="93" t="s">
        <v>379</v>
      </c>
      <c r="Y9" s="93" t="s">
        <v>380</v>
      </c>
      <c r="Z9" s="93" t="s">
        <v>381</v>
      </c>
      <c r="AA9" s="93" t="s">
        <v>382</v>
      </c>
      <c r="AB9" s="93" t="s">
        <v>383</v>
      </c>
      <c r="AC9" s="94" t="s">
        <v>384</v>
      </c>
      <c r="AD9" s="94" t="s">
        <v>426</v>
      </c>
    </row>
    <row r="10" spans="2:30" ht="72" customHeight="1" thickBot="1">
      <c r="B10" s="362" t="s">
        <v>583</v>
      </c>
      <c r="C10" s="363"/>
      <c r="D10" s="95">
        <v>2</v>
      </c>
      <c r="E10" s="96" t="str">
        <f>IF(ISERROR(HLOOKUP(E$11,$M$9:$AD$35,$D10,0)),"",HLOOKUP(E$11,$M$9:$AD$35,$D10,0))</f>
        <v/>
      </c>
      <c r="F10" s="360" t="s">
        <v>395</v>
      </c>
      <c r="G10" s="360"/>
      <c r="H10" s="360"/>
      <c r="I10" s="360"/>
      <c r="J10" s="360"/>
      <c r="K10" s="360"/>
      <c r="L10" s="361"/>
      <c r="M10" s="97" t="s">
        <v>465</v>
      </c>
      <c r="N10" s="98" t="s">
        <v>466</v>
      </c>
      <c r="O10" s="99" t="s">
        <v>467</v>
      </c>
      <c r="P10" s="100" t="s">
        <v>468</v>
      </c>
      <c r="Q10" s="100" t="s">
        <v>469</v>
      </c>
      <c r="R10" s="100" t="s">
        <v>470</v>
      </c>
      <c r="S10" s="100" t="s">
        <v>471</v>
      </c>
      <c r="T10" s="100" t="s">
        <v>472</v>
      </c>
      <c r="U10" s="100" t="s">
        <v>473</v>
      </c>
      <c r="V10" s="100" t="s">
        <v>474</v>
      </c>
      <c r="W10" s="100" t="s">
        <v>475</v>
      </c>
      <c r="X10" s="100" t="s">
        <v>476</v>
      </c>
      <c r="Y10" s="100" t="s">
        <v>477</v>
      </c>
      <c r="Z10" s="100" t="s">
        <v>478</v>
      </c>
      <c r="AA10" s="100" t="s">
        <v>479</v>
      </c>
      <c r="AB10" s="100" t="s">
        <v>480</v>
      </c>
      <c r="AC10" s="101" t="s">
        <v>481</v>
      </c>
      <c r="AD10" s="102" t="s">
        <v>427</v>
      </c>
    </row>
    <row r="11" spans="2:30" ht="15.75" thickBot="1">
      <c r="B11" s="103" t="s">
        <v>418</v>
      </c>
      <c r="C11" s="104"/>
      <c r="D11" s="105">
        <v>3</v>
      </c>
      <c r="E11" s="106"/>
      <c r="F11" s="107" t="s">
        <v>386</v>
      </c>
      <c r="G11" s="108" t="s">
        <v>387</v>
      </c>
      <c r="H11" s="108" t="s">
        <v>388</v>
      </c>
      <c r="I11" s="108" t="s">
        <v>389</v>
      </c>
      <c r="J11" s="108" t="s">
        <v>390</v>
      </c>
      <c r="K11" s="108" t="s">
        <v>391</v>
      </c>
      <c r="L11" s="109" t="s">
        <v>392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396</v>
      </c>
      <c r="C12" s="111"/>
      <c r="D12" s="112">
        <v>4</v>
      </c>
      <c r="E12" s="315">
        <f>MIN(SUMPRODUCT($M$11:$AD$11,M12:AD12),1)</f>
        <v>1</v>
      </c>
      <c r="F12" s="312" t="s">
        <v>392</v>
      </c>
      <c r="G12" s="79" t="s">
        <v>392</v>
      </c>
      <c r="H12" s="79" t="s">
        <v>392</v>
      </c>
      <c r="I12" s="79" t="s">
        <v>392</v>
      </c>
      <c r="J12" s="79" t="s">
        <v>392</v>
      </c>
      <c r="K12" s="79" t="s">
        <v>392</v>
      </c>
      <c r="L12" s="80" t="s">
        <v>392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397</v>
      </c>
      <c r="C13" s="118"/>
      <c r="D13" s="112">
        <v>5</v>
      </c>
      <c r="E13" s="316">
        <f t="shared" ref="E13:E35" si="0">MIN(SUMPRODUCT($M$11:$AD$11,M13:AD13),1)</f>
        <v>0</v>
      </c>
      <c r="F13" s="313" t="s">
        <v>392</v>
      </c>
      <c r="G13" s="81" t="s">
        <v>392</v>
      </c>
      <c r="H13" s="81" t="s">
        <v>392</v>
      </c>
      <c r="I13" s="81" t="s">
        <v>392</v>
      </c>
      <c r="J13" s="81" t="s">
        <v>392</v>
      </c>
      <c r="K13" s="81" t="s">
        <v>392</v>
      </c>
      <c r="L13" s="82" t="s">
        <v>392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398</v>
      </c>
      <c r="C14" s="118"/>
      <c r="D14" s="112">
        <v>6</v>
      </c>
      <c r="E14" s="316">
        <f t="shared" si="0"/>
        <v>0</v>
      </c>
      <c r="F14" s="313" t="s">
        <v>392</v>
      </c>
      <c r="G14" s="81" t="s">
        <v>399</v>
      </c>
      <c r="H14" s="81" t="s">
        <v>399</v>
      </c>
      <c r="I14" s="81" t="s">
        <v>399</v>
      </c>
      <c r="J14" s="81" t="s">
        <v>399</v>
      </c>
      <c r="K14" s="81" t="s">
        <v>399</v>
      </c>
      <c r="L14" s="82" t="s">
        <v>399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400</v>
      </c>
      <c r="C15" s="118"/>
      <c r="D15" s="112">
        <v>7</v>
      </c>
      <c r="E15" s="316">
        <f t="shared" si="0"/>
        <v>0</v>
      </c>
      <c r="F15" s="313" t="s">
        <v>399</v>
      </c>
      <c r="G15" s="81" t="s">
        <v>391</v>
      </c>
      <c r="H15" s="81" t="s">
        <v>399</v>
      </c>
      <c r="I15" s="81" t="s">
        <v>399</v>
      </c>
      <c r="J15" s="81" t="s">
        <v>399</v>
      </c>
      <c r="K15" s="81" t="s">
        <v>399</v>
      </c>
      <c r="L15" s="82" t="s">
        <v>399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412</v>
      </c>
      <c r="C16" s="118"/>
      <c r="D16" s="112">
        <v>8</v>
      </c>
      <c r="E16" s="316">
        <f t="shared" si="0"/>
        <v>1</v>
      </c>
      <c r="F16" s="313" t="s">
        <v>399</v>
      </c>
      <c r="G16" s="81" t="s">
        <v>399</v>
      </c>
      <c r="H16" s="81" t="s">
        <v>399</v>
      </c>
      <c r="I16" s="81" t="s">
        <v>399</v>
      </c>
      <c r="J16" s="81" t="s">
        <v>392</v>
      </c>
      <c r="K16" s="81" t="s">
        <v>399</v>
      </c>
      <c r="L16" s="82" t="s">
        <v>399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413</v>
      </c>
      <c r="C17" s="118"/>
      <c r="D17" s="112">
        <v>9</v>
      </c>
      <c r="E17" s="316">
        <f t="shared" si="0"/>
        <v>1</v>
      </c>
      <c r="F17" s="313" t="s">
        <v>399</v>
      </c>
      <c r="G17" s="81" t="s">
        <v>399</v>
      </c>
      <c r="H17" s="81" t="s">
        <v>399</v>
      </c>
      <c r="I17" s="81" t="s">
        <v>399</v>
      </c>
      <c r="J17" s="81" t="s">
        <v>399</v>
      </c>
      <c r="K17" s="81" t="s">
        <v>399</v>
      </c>
      <c r="L17" s="82" t="s">
        <v>392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414</v>
      </c>
      <c r="C18" s="118"/>
      <c r="D18" s="112">
        <v>10</v>
      </c>
      <c r="E18" s="316">
        <f t="shared" si="0"/>
        <v>1</v>
      </c>
      <c r="F18" s="313" t="s">
        <v>392</v>
      </c>
      <c r="G18" s="81" t="s">
        <v>399</v>
      </c>
      <c r="H18" s="81" t="s">
        <v>399</v>
      </c>
      <c r="I18" s="81" t="s">
        <v>399</v>
      </c>
      <c r="J18" s="81" t="s">
        <v>399</v>
      </c>
      <c r="K18" s="81" t="s">
        <v>399</v>
      </c>
      <c r="L18" s="82" t="s">
        <v>399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40" t="s">
        <v>651</v>
      </c>
      <c r="C19" s="341"/>
      <c r="D19" s="112"/>
      <c r="E19" s="316">
        <v>1</v>
      </c>
      <c r="F19" s="313" t="s">
        <v>392</v>
      </c>
      <c r="G19" s="81" t="s">
        <v>392</v>
      </c>
      <c r="H19" s="81" t="s">
        <v>392</v>
      </c>
      <c r="I19" s="81" t="s">
        <v>392</v>
      </c>
      <c r="J19" s="81" t="s">
        <v>392</v>
      </c>
      <c r="K19" s="81" t="s">
        <v>392</v>
      </c>
      <c r="L19" s="82" t="s">
        <v>392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401</v>
      </c>
      <c r="C20" s="118"/>
      <c r="D20" s="112">
        <v>11</v>
      </c>
      <c r="E20" s="316">
        <f t="shared" si="0"/>
        <v>1</v>
      </c>
      <c r="F20" s="313" t="s">
        <v>392</v>
      </c>
      <c r="G20" s="81" t="s">
        <v>392</v>
      </c>
      <c r="H20" s="81" t="s">
        <v>392</v>
      </c>
      <c r="I20" s="81" t="s">
        <v>392</v>
      </c>
      <c r="J20" s="81" t="s">
        <v>392</v>
      </c>
      <c r="K20" s="81" t="s">
        <v>392</v>
      </c>
      <c r="L20" s="82" t="s">
        <v>392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649</v>
      </c>
      <c r="C21" s="118"/>
      <c r="D21" s="112">
        <v>12</v>
      </c>
      <c r="E21" s="316">
        <f t="shared" si="0"/>
        <v>1</v>
      </c>
      <c r="F21" s="313" t="s">
        <v>399</v>
      </c>
      <c r="G21" s="81" t="s">
        <v>399</v>
      </c>
      <c r="H21" s="81" t="s">
        <v>399</v>
      </c>
      <c r="I21" s="81" t="s">
        <v>392</v>
      </c>
      <c r="J21" s="81" t="s">
        <v>399</v>
      </c>
      <c r="K21" s="81" t="s">
        <v>399</v>
      </c>
      <c r="L21" s="82" t="s">
        <v>399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415</v>
      </c>
      <c r="C22" s="118"/>
      <c r="D22" s="112">
        <v>13</v>
      </c>
      <c r="E22" s="316">
        <f t="shared" si="0"/>
        <v>1</v>
      </c>
      <c r="F22" s="313" t="s">
        <v>399</v>
      </c>
      <c r="G22" s="81" t="s">
        <v>399</v>
      </c>
      <c r="H22" s="81" t="s">
        <v>399</v>
      </c>
      <c r="I22" s="81" t="s">
        <v>399</v>
      </c>
      <c r="J22" s="81" t="s">
        <v>399</v>
      </c>
      <c r="K22" s="81" t="s">
        <v>399</v>
      </c>
      <c r="L22" s="82" t="s">
        <v>392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416</v>
      </c>
      <c r="C23" s="118"/>
      <c r="D23" s="112">
        <v>14</v>
      </c>
      <c r="E23" s="316">
        <f t="shared" si="0"/>
        <v>1</v>
      </c>
      <c r="F23" s="313" t="s">
        <v>392</v>
      </c>
      <c r="G23" s="81" t="s">
        <v>399</v>
      </c>
      <c r="H23" s="81" t="s">
        <v>399</v>
      </c>
      <c r="I23" s="81" t="s">
        <v>399</v>
      </c>
      <c r="J23" s="81" t="s">
        <v>399</v>
      </c>
      <c r="K23" s="81" t="s">
        <v>399</v>
      </c>
      <c r="L23" s="82" t="s">
        <v>399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417</v>
      </c>
      <c r="C24" s="118"/>
      <c r="D24" s="112">
        <v>15</v>
      </c>
      <c r="E24" s="316">
        <f t="shared" si="0"/>
        <v>0</v>
      </c>
      <c r="F24" s="313" t="s">
        <v>399</v>
      </c>
      <c r="G24" s="81" t="s">
        <v>399</v>
      </c>
      <c r="H24" s="81" t="s">
        <v>399</v>
      </c>
      <c r="I24" s="81" t="s">
        <v>392</v>
      </c>
      <c r="J24" s="81" t="s">
        <v>399</v>
      </c>
      <c r="K24" s="81" t="s">
        <v>399</v>
      </c>
      <c r="L24" s="82" t="s">
        <v>399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402</v>
      </c>
      <c r="C25" s="118"/>
      <c r="D25" s="112">
        <v>16</v>
      </c>
      <c r="E25" s="316">
        <f t="shared" si="0"/>
        <v>0</v>
      </c>
      <c r="F25" s="313" t="s">
        <v>392</v>
      </c>
      <c r="G25" s="81" t="s">
        <v>392</v>
      </c>
      <c r="H25" s="81" t="s">
        <v>392</v>
      </c>
      <c r="I25" s="81" t="s">
        <v>392</v>
      </c>
      <c r="J25" s="81" t="s">
        <v>392</v>
      </c>
      <c r="K25" s="81" t="s">
        <v>392</v>
      </c>
      <c r="L25" s="82" t="s">
        <v>392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403</v>
      </c>
      <c r="C26" s="118"/>
      <c r="D26" s="112">
        <v>17</v>
      </c>
      <c r="E26" s="316">
        <f t="shared" si="0"/>
        <v>0</v>
      </c>
      <c r="F26" s="313" t="s">
        <v>392</v>
      </c>
      <c r="G26" s="81" t="s">
        <v>392</v>
      </c>
      <c r="H26" s="81" t="s">
        <v>392</v>
      </c>
      <c r="I26" s="81" t="s">
        <v>392</v>
      </c>
      <c r="J26" s="81" t="s">
        <v>392</v>
      </c>
      <c r="K26" s="81" t="s">
        <v>392</v>
      </c>
      <c r="L26" s="82" t="s">
        <v>392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40" t="s">
        <v>650</v>
      </c>
      <c r="C27" s="341"/>
      <c r="D27" s="112"/>
      <c r="E27" s="316">
        <v>1</v>
      </c>
      <c r="F27" s="313" t="s">
        <v>392</v>
      </c>
      <c r="G27" s="81" t="s">
        <v>392</v>
      </c>
      <c r="H27" s="81" t="s">
        <v>392</v>
      </c>
      <c r="I27" s="81" t="s">
        <v>392</v>
      </c>
      <c r="J27" s="81" t="s">
        <v>392</v>
      </c>
      <c r="K27" s="81" t="s">
        <v>392</v>
      </c>
      <c r="L27" s="82" t="s">
        <v>392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404</v>
      </c>
      <c r="C28" s="118"/>
      <c r="D28" s="112">
        <v>18</v>
      </c>
      <c r="E28" s="316">
        <f t="shared" si="0"/>
        <v>1</v>
      </c>
      <c r="F28" s="313" t="s">
        <v>392</v>
      </c>
      <c r="G28" s="81" t="s">
        <v>392</v>
      </c>
      <c r="H28" s="81" t="s">
        <v>392</v>
      </c>
      <c r="I28" s="81" t="s">
        <v>392</v>
      </c>
      <c r="J28" s="81" t="s">
        <v>392</v>
      </c>
      <c r="K28" s="81" t="s">
        <v>392</v>
      </c>
      <c r="L28" s="82" t="s">
        <v>392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5">
      <c r="B29" s="340" t="s">
        <v>405</v>
      </c>
      <c r="C29" s="341"/>
      <c r="D29" s="342">
        <v>19</v>
      </c>
      <c r="E29" s="343">
        <v>1</v>
      </c>
      <c r="F29" s="313" t="s">
        <v>392</v>
      </c>
      <c r="G29" s="313" t="s">
        <v>392</v>
      </c>
      <c r="H29" s="313" t="s">
        <v>392</v>
      </c>
      <c r="I29" s="313" t="s">
        <v>392</v>
      </c>
      <c r="J29" s="313" t="s">
        <v>392</v>
      </c>
      <c r="K29" s="313" t="s">
        <v>392</v>
      </c>
      <c r="L29" s="313" t="s">
        <v>392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5">
      <c r="B30" s="117" t="s">
        <v>406</v>
      </c>
      <c r="C30" s="118"/>
      <c r="D30" s="112">
        <v>20</v>
      </c>
      <c r="E30" s="316">
        <f t="shared" si="0"/>
        <v>0</v>
      </c>
      <c r="F30" s="313" t="s">
        <v>392</v>
      </c>
      <c r="G30" s="81" t="s">
        <v>392</v>
      </c>
      <c r="H30" s="81" t="s">
        <v>392</v>
      </c>
      <c r="I30" s="81" t="s">
        <v>392</v>
      </c>
      <c r="J30" s="81" t="s">
        <v>392</v>
      </c>
      <c r="K30" s="81" t="s">
        <v>392</v>
      </c>
      <c r="L30" s="82" t="s">
        <v>392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407</v>
      </c>
      <c r="C31" s="118"/>
      <c r="D31" s="112">
        <v>21</v>
      </c>
      <c r="E31" s="316">
        <f t="shared" si="0"/>
        <v>0</v>
      </c>
      <c r="F31" s="313" t="s">
        <v>399</v>
      </c>
      <c r="G31" s="81" t="s">
        <v>399</v>
      </c>
      <c r="H31" s="81" t="s">
        <v>392</v>
      </c>
      <c r="I31" s="81" t="s">
        <v>399</v>
      </c>
      <c r="J31" s="81" t="s">
        <v>399</v>
      </c>
      <c r="K31" s="81" t="s">
        <v>399</v>
      </c>
      <c r="L31" s="82" t="s">
        <v>399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408</v>
      </c>
      <c r="C32" s="118"/>
      <c r="D32" s="112">
        <v>22</v>
      </c>
      <c r="E32" s="316">
        <f t="shared" si="0"/>
        <v>0</v>
      </c>
      <c r="F32" s="313" t="s">
        <v>391</v>
      </c>
      <c r="G32" s="81" t="s">
        <v>391</v>
      </c>
      <c r="H32" s="81" t="s">
        <v>391</v>
      </c>
      <c r="I32" s="81" t="s">
        <v>391</v>
      </c>
      <c r="J32" s="81" t="s">
        <v>391</v>
      </c>
      <c r="K32" s="81" t="s">
        <v>391</v>
      </c>
      <c r="L32" s="82" t="s">
        <v>392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409</v>
      </c>
      <c r="C33" s="118"/>
      <c r="D33" s="112">
        <v>23</v>
      </c>
      <c r="E33" s="316">
        <f t="shared" si="0"/>
        <v>1</v>
      </c>
      <c r="F33" s="313" t="s">
        <v>392</v>
      </c>
      <c r="G33" s="81" t="s">
        <v>392</v>
      </c>
      <c r="H33" s="81" t="s">
        <v>392</v>
      </c>
      <c r="I33" s="81" t="s">
        <v>392</v>
      </c>
      <c r="J33" s="81" t="s">
        <v>392</v>
      </c>
      <c r="K33" s="81" t="s">
        <v>392</v>
      </c>
      <c r="L33" s="82" t="s">
        <v>392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410</v>
      </c>
      <c r="C34" s="118"/>
      <c r="D34" s="112">
        <v>24</v>
      </c>
      <c r="E34" s="316">
        <f t="shared" si="0"/>
        <v>1</v>
      </c>
      <c r="F34" s="313" t="s">
        <v>392</v>
      </c>
      <c r="G34" s="81" t="s">
        <v>392</v>
      </c>
      <c r="H34" s="81" t="s">
        <v>392</v>
      </c>
      <c r="I34" s="81" t="s">
        <v>392</v>
      </c>
      <c r="J34" s="81" t="s">
        <v>392</v>
      </c>
      <c r="K34" s="81" t="s">
        <v>392</v>
      </c>
      <c r="L34" s="82" t="s">
        <v>392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411</v>
      </c>
      <c r="C35" s="124"/>
      <c r="D35" s="125">
        <v>25</v>
      </c>
      <c r="E35" s="317">
        <f t="shared" si="0"/>
        <v>0</v>
      </c>
      <c r="F35" s="314" t="s">
        <v>391</v>
      </c>
      <c r="G35" s="83" t="s">
        <v>391</v>
      </c>
      <c r="H35" s="83" t="s">
        <v>391</v>
      </c>
      <c r="I35" s="83" t="s">
        <v>391</v>
      </c>
      <c r="J35" s="83" t="s">
        <v>391</v>
      </c>
      <c r="K35" s="83" t="s">
        <v>391</v>
      </c>
      <c r="L35" s="84" t="s">
        <v>392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452</v>
      </c>
      <c r="B1" s="129"/>
      <c r="D1" s="218" t="s">
        <v>545</v>
      </c>
    </row>
    <row r="2" spans="1:16">
      <c r="A2" s="238"/>
      <c r="B2" s="237" t="s">
        <v>453</v>
      </c>
    </row>
    <row r="3" spans="1:16" ht="20.100000000000001" customHeight="1">
      <c r="A3" s="364" t="s">
        <v>249</v>
      </c>
      <c r="B3" s="239" t="s">
        <v>86</v>
      </c>
      <c r="C3" s="240"/>
      <c r="D3" s="366" t="s">
        <v>454</v>
      </c>
      <c r="E3" s="367"/>
      <c r="F3" s="367"/>
      <c r="G3" s="367"/>
      <c r="H3" s="367"/>
      <c r="I3" s="367"/>
      <c r="J3" s="368"/>
      <c r="K3" s="241"/>
      <c r="L3" s="241"/>
      <c r="M3" s="241"/>
      <c r="N3" s="241"/>
      <c r="O3" s="242"/>
      <c r="P3" s="241"/>
    </row>
    <row r="4" spans="1:16" ht="20.100000000000001" customHeight="1">
      <c r="A4" s="365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365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365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818b9f00-f4e5-4488-840e-6084e0f1107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Braam, Michael</cp:lastModifiedBy>
  <cp:lastPrinted>2015-03-20T22:59:10Z</cp:lastPrinted>
  <dcterms:created xsi:type="dcterms:W3CDTF">2015-01-15T05:25:41Z</dcterms:created>
  <dcterms:modified xsi:type="dcterms:W3CDTF">2021-10-04T14:17:26Z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